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mkmiller/Downloads/"/>
    </mc:Choice>
  </mc:AlternateContent>
  <xr:revisionPtr revIDLastSave="0" documentId="13_ncr:1_{9F3323AE-EC67-1049-8128-990B7961BCE0}" xr6:coauthVersionLast="47" xr6:coauthVersionMax="47" xr10:uidLastSave="{00000000-0000-0000-0000-000000000000}"/>
  <bookViews>
    <workbookView xWindow="0" yWindow="0" windowWidth="38400" windowHeight="24000" activeTab="1" xr2:uid="{00000000-000D-0000-FFFF-FFFF00000000}"/>
  </bookViews>
  <sheets>
    <sheet name="Spending Statistics" sheetId="1" r:id="rId1"/>
    <sheet name="Spending Breakdown by Partisan 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" l="1"/>
  <c r="C2" i="1" l="1"/>
  <c r="D71" i="2"/>
  <c r="C71" i="2"/>
  <c r="D37" i="2"/>
  <c r="C37" i="2"/>
  <c r="H22" i="2"/>
  <c r="G22" i="2"/>
  <c r="F22" i="2"/>
  <c r="E22" i="2"/>
  <c r="D22" i="2"/>
  <c r="C22" i="2"/>
  <c r="B22" i="2"/>
  <c r="H21" i="2"/>
  <c r="G21" i="2"/>
  <c r="F21" i="2"/>
  <c r="E21" i="2"/>
  <c r="D21" i="2"/>
  <c r="C21" i="2"/>
  <c r="B21" i="2"/>
  <c r="D19" i="2"/>
  <c r="D20" i="2" s="1"/>
  <c r="C19" i="2"/>
  <c r="C20" i="2" s="1"/>
  <c r="R58" i="1"/>
  <c r="N58" i="1"/>
  <c r="M58" i="1"/>
  <c r="O58" i="1" s="1"/>
  <c r="L58" i="1"/>
  <c r="H58" i="1"/>
  <c r="B58" i="1"/>
  <c r="R57" i="1"/>
  <c r="N57" i="1"/>
  <c r="M57" i="1"/>
  <c r="P57" i="1" s="1"/>
  <c r="L57" i="1"/>
  <c r="H57" i="1"/>
  <c r="B57" i="1"/>
  <c r="R56" i="1"/>
  <c r="O56" i="1"/>
  <c r="N56" i="1"/>
  <c r="M56" i="1"/>
  <c r="P56" i="1" s="1"/>
  <c r="L56" i="1"/>
  <c r="H56" i="1"/>
  <c r="E56" i="1"/>
  <c r="B56" i="1"/>
  <c r="R55" i="1"/>
  <c r="P55" i="1"/>
  <c r="N55" i="1"/>
  <c r="M55" i="1"/>
  <c r="O55" i="1" s="1"/>
  <c r="L55" i="1"/>
  <c r="H55" i="1"/>
  <c r="E55" i="1"/>
  <c r="B55" i="1"/>
  <c r="R54" i="1"/>
  <c r="O54" i="1"/>
  <c r="M54" i="1"/>
  <c r="P54" i="1" s="1"/>
  <c r="L54" i="1"/>
  <c r="H54" i="1"/>
  <c r="B54" i="1"/>
  <c r="R53" i="1"/>
  <c r="M53" i="1"/>
  <c r="O53" i="1" s="1"/>
  <c r="L53" i="1"/>
  <c r="H53" i="1"/>
  <c r="B53" i="1"/>
  <c r="R52" i="1"/>
  <c r="P52" i="1"/>
  <c r="M52" i="1"/>
  <c r="O52" i="1" s="1"/>
  <c r="L52" i="1"/>
  <c r="H52" i="1"/>
  <c r="B52" i="1"/>
  <c r="R51" i="1"/>
  <c r="N51" i="1"/>
  <c r="M51" i="1"/>
  <c r="L51" i="1"/>
  <c r="H51" i="1"/>
  <c r="B51" i="1"/>
  <c r="R50" i="1"/>
  <c r="N50" i="1"/>
  <c r="O50" i="1" s="1"/>
  <c r="M50" i="1"/>
  <c r="L50" i="1"/>
  <c r="H50" i="1"/>
  <c r="B50" i="1"/>
  <c r="R49" i="1"/>
  <c r="M49" i="1"/>
  <c r="O49" i="1" s="1"/>
  <c r="L49" i="1"/>
  <c r="H49" i="1"/>
  <c r="B49" i="1"/>
  <c r="R48" i="1"/>
  <c r="M48" i="1"/>
  <c r="P48" i="1" s="1"/>
  <c r="L48" i="1"/>
  <c r="H48" i="1"/>
  <c r="B48" i="1"/>
  <c r="R47" i="1"/>
  <c r="N47" i="1"/>
  <c r="P47" i="1" s="1"/>
  <c r="M47" i="1"/>
  <c r="L47" i="1"/>
  <c r="H47" i="1"/>
  <c r="B47" i="1"/>
  <c r="R46" i="1"/>
  <c r="M46" i="1"/>
  <c r="P46" i="1" s="1"/>
  <c r="L46" i="1"/>
  <c r="H46" i="1"/>
  <c r="B46" i="1"/>
  <c r="R45" i="1"/>
  <c r="P45" i="1"/>
  <c r="O45" i="1"/>
  <c r="M45" i="1"/>
  <c r="L45" i="1"/>
  <c r="H45" i="1"/>
  <c r="B45" i="1"/>
  <c r="R44" i="1"/>
  <c r="O44" i="1"/>
  <c r="N44" i="1"/>
  <c r="P44" i="1" s="1"/>
  <c r="M44" i="1"/>
  <c r="L44" i="1"/>
  <c r="H44" i="1"/>
  <c r="B44" i="1"/>
  <c r="R43" i="1"/>
  <c r="O43" i="1"/>
  <c r="M43" i="1"/>
  <c r="P43" i="1" s="1"/>
  <c r="L43" i="1"/>
  <c r="H43" i="1"/>
  <c r="E43" i="1"/>
  <c r="B43" i="1"/>
  <c r="R42" i="1"/>
  <c r="O42" i="1"/>
  <c r="M42" i="1"/>
  <c r="P42" i="1" s="1"/>
  <c r="L42" i="1"/>
  <c r="H42" i="1"/>
  <c r="B42" i="1"/>
  <c r="R41" i="1"/>
  <c r="O41" i="1"/>
  <c r="N41" i="1"/>
  <c r="M41" i="1"/>
  <c r="L41" i="1"/>
  <c r="H41" i="1"/>
  <c r="B41" i="1"/>
  <c r="R40" i="1"/>
  <c r="O40" i="1"/>
  <c r="N40" i="1"/>
  <c r="P40" i="1" s="1"/>
  <c r="M40" i="1"/>
  <c r="L40" i="1"/>
  <c r="B40" i="1"/>
  <c r="R39" i="1"/>
  <c r="M39" i="1"/>
  <c r="P39" i="1" s="1"/>
  <c r="L39" i="1"/>
  <c r="B39" i="1"/>
  <c r="R38" i="1"/>
  <c r="M38" i="1"/>
  <c r="O38" i="1" s="1"/>
  <c r="L38" i="1"/>
  <c r="H38" i="1"/>
  <c r="B38" i="1"/>
  <c r="R37" i="1"/>
  <c r="N37" i="1"/>
  <c r="M37" i="1"/>
  <c r="O37" i="1" s="1"/>
  <c r="L37" i="1"/>
  <c r="H37" i="1"/>
  <c r="B37" i="1"/>
  <c r="R36" i="1"/>
  <c r="N36" i="1"/>
  <c r="M36" i="1"/>
  <c r="O36" i="1" s="1"/>
  <c r="L36" i="1"/>
  <c r="H36" i="1"/>
  <c r="B36" i="1"/>
  <c r="R35" i="1"/>
  <c r="O35" i="1"/>
  <c r="M35" i="1"/>
  <c r="P35" i="1" s="1"/>
  <c r="L35" i="1"/>
  <c r="H35" i="1"/>
  <c r="E35" i="1"/>
  <c r="B35" i="1"/>
  <c r="R34" i="1"/>
  <c r="M34" i="1"/>
  <c r="P34" i="1" s="1"/>
  <c r="L34" i="1"/>
  <c r="H34" i="1"/>
  <c r="E34" i="1"/>
  <c r="B34" i="1"/>
  <c r="R33" i="1"/>
  <c r="O33" i="1"/>
  <c r="M33" i="1"/>
  <c r="P33" i="1" s="1"/>
  <c r="L33" i="1"/>
  <c r="H33" i="1"/>
  <c r="B33" i="1"/>
  <c r="R32" i="1"/>
  <c r="M32" i="1"/>
  <c r="P32" i="1" s="1"/>
  <c r="L32" i="1"/>
  <c r="H32" i="1"/>
  <c r="B32" i="1"/>
  <c r="R31" i="1"/>
  <c r="N31" i="1"/>
  <c r="M31" i="1"/>
  <c r="O31" i="1" s="1"/>
  <c r="L31" i="1"/>
  <c r="H31" i="1"/>
  <c r="B31" i="1"/>
  <c r="R30" i="1"/>
  <c r="P30" i="1"/>
  <c r="M30" i="1"/>
  <c r="O30" i="1" s="1"/>
  <c r="L30" i="1"/>
  <c r="H30" i="1"/>
  <c r="B30" i="1"/>
  <c r="R29" i="1"/>
  <c r="P29" i="1"/>
  <c r="N29" i="1"/>
  <c r="M29" i="1"/>
  <c r="O29" i="1" s="1"/>
  <c r="L29" i="1"/>
  <c r="H29" i="1"/>
  <c r="B29" i="1"/>
  <c r="R28" i="1"/>
  <c r="P28" i="1"/>
  <c r="M28" i="1"/>
  <c r="O28" i="1" s="1"/>
  <c r="L28" i="1"/>
  <c r="H28" i="1"/>
  <c r="B28" i="1"/>
  <c r="R27" i="1"/>
  <c r="M27" i="1"/>
  <c r="P27" i="1" s="1"/>
  <c r="L27" i="1"/>
  <c r="H27" i="1"/>
  <c r="B27" i="1"/>
  <c r="R26" i="1"/>
  <c r="M26" i="1"/>
  <c r="O26" i="1" s="1"/>
  <c r="L26" i="1"/>
  <c r="H26" i="1"/>
  <c r="B26" i="1"/>
  <c r="R25" i="1"/>
  <c r="P25" i="1"/>
  <c r="O25" i="1"/>
  <c r="M25" i="1"/>
  <c r="L25" i="1"/>
  <c r="H25" i="1"/>
  <c r="B25" i="1"/>
  <c r="R24" i="1"/>
  <c r="M24" i="1"/>
  <c r="O24" i="1" s="1"/>
  <c r="L24" i="1"/>
  <c r="H24" i="1"/>
  <c r="B24" i="1"/>
  <c r="R23" i="1"/>
  <c r="M23" i="1"/>
  <c r="P23" i="1" s="1"/>
  <c r="L23" i="1"/>
  <c r="B23" i="1"/>
  <c r="R22" i="1"/>
  <c r="P22" i="1"/>
  <c r="M22" i="1"/>
  <c r="O22" i="1" s="1"/>
  <c r="L22" i="1"/>
  <c r="H22" i="1"/>
  <c r="B22" i="1"/>
  <c r="R21" i="1"/>
  <c r="P21" i="1"/>
  <c r="M21" i="1"/>
  <c r="O21" i="1" s="1"/>
  <c r="L21" i="1"/>
  <c r="H21" i="1"/>
  <c r="B21" i="1"/>
  <c r="R20" i="1"/>
  <c r="M20" i="1"/>
  <c r="P20" i="1" s="1"/>
  <c r="L20" i="1"/>
  <c r="H20" i="1"/>
  <c r="B20" i="1"/>
  <c r="R19" i="1"/>
  <c r="N19" i="1"/>
  <c r="M19" i="1"/>
  <c r="O19" i="1" s="1"/>
  <c r="L19" i="1"/>
  <c r="H19" i="1"/>
  <c r="B19" i="1"/>
  <c r="R18" i="1"/>
  <c r="M18" i="1"/>
  <c r="O18" i="1" s="1"/>
  <c r="L18" i="1"/>
  <c r="H18" i="1"/>
  <c r="B18" i="1"/>
  <c r="R17" i="1"/>
  <c r="N17" i="1"/>
  <c r="M17" i="1"/>
  <c r="L17" i="1"/>
  <c r="H17" i="1"/>
  <c r="B17" i="1"/>
  <c r="R16" i="1"/>
  <c r="M16" i="1"/>
  <c r="P16" i="1" s="1"/>
  <c r="L16" i="1"/>
  <c r="H16" i="1"/>
  <c r="B16" i="1"/>
  <c r="R15" i="1"/>
  <c r="N15" i="1"/>
  <c r="M15" i="1"/>
  <c r="L15" i="1"/>
  <c r="H15" i="1"/>
  <c r="E15" i="1"/>
  <c r="B15" i="1"/>
  <c r="R14" i="1"/>
  <c r="N14" i="1"/>
  <c r="N2" i="1" s="1"/>
  <c r="M14" i="1"/>
  <c r="P14" i="1" s="1"/>
  <c r="L14" i="1"/>
  <c r="H14" i="1"/>
  <c r="E14" i="1"/>
  <c r="R13" i="1"/>
  <c r="N13" i="1"/>
  <c r="P13" i="1" s="1"/>
  <c r="M13" i="1"/>
  <c r="L13" i="1"/>
  <c r="H13" i="1"/>
  <c r="E13" i="1"/>
  <c r="B13" i="1"/>
  <c r="R12" i="1"/>
  <c r="O12" i="1"/>
  <c r="N12" i="1"/>
  <c r="P12" i="1" s="1"/>
  <c r="M12" i="1"/>
  <c r="L12" i="1"/>
  <c r="H12" i="1"/>
  <c r="E12" i="1"/>
  <c r="B12" i="1"/>
  <c r="R11" i="1"/>
  <c r="N11" i="1"/>
  <c r="M11" i="1"/>
  <c r="P11" i="1" s="1"/>
  <c r="L11" i="1"/>
  <c r="H11" i="1"/>
  <c r="E11" i="1"/>
  <c r="B11" i="1"/>
  <c r="R10" i="1"/>
  <c r="N10" i="1"/>
  <c r="M10" i="1"/>
  <c r="O10" i="1" s="1"/>
  <c r="L10" i="1"/>
  <c r="H10" i="1"/>
  <c r="E10" i="1"/>
  <c r="B10" i="1"/>
  <c r="R9" i="1"/>
  <c r="M9" i="1"/>
  <c r="P9" i="1" s="1"/>
  <c r="L9" i="1"/>
  <c r="H9" i="1"/>
  <c r="E9" i="1"/>
  <c r="B9" i="1"/>
  <c r="R8" i="1"/>
  <c r="N8" i="1"/>
  <c r="M8" i="1"/>
  <c r="O8" i="1" s="1"/>
  <c r="L8" i="1"/>
  <c r="H8" i="1"/>
  <c r="E8" i="1"/>
  <c r="B8" i="1"/>
  <c r="R7" i="1"/>
  <c r="N7" i="1"/>
  <c r="P7" i="1" s="1"/>
  <c r="M7" i="1"/>
  <c r="L7" i="1"/>
  <c r="H7" i="1"/>
  <c r="E7" i="1"/>
  <c r="B7" i="1"/>
  <c r="R6" i="1"/>
  <c r="N6" i="1"/>
  <c r="M6" i="1"/>
  <c r="L6" i="1"/>
  <c r="H6" i="1"/>
  <c r="E6" i="1"/>
  <c r="B6" i="1"/>
  <c r="R5" i="1"/>
  <c r="N5" i="1"/>
  <c r="M5" i="1"/>
  <c r="P5" i="1" s="1"/>
  <c r="L5" i="1"/>
  <c r="L2" i="1" s="1"/>
  <c r="H5" i="1"/>
  <c r="E5" i="1"/>
  <c r="B5" i="1"/>
  <c r="R4" i="1"/>
  <c r="N4" i="1"/>
  <c r="M4" i="1"/>
  <c r="O4" i="1" s="1"/>
  <c r="L4" i="1"/>
  <c r="H4" i="1"/>
  <c r="E4" i="1"/>
  <c r="B4" i="1"/>
  <c r="R3" i="1"/>
  <c r="N3" i="1"/>
  <c r="M3" i="1"/>
  <c r="O3" i="1" s="1"/>
  <c r="L3" i="1"/>
  <c r="H3" i="1"/>
  <c r="E3" i="1"/>
  <c r="B3" i="1"/>
  <c r="H2" i="1"/>
  <c r="D2" i="1"/>
  <c r="B2" i="1" s="1"/>
  <c r="R2" i="1"/>
  <c r="O47" i="1" l="1"/>
  <c r="O57" i="1"/>
  <c r="O20" i="1"/>
  <c r="O16" i="1"/>
  <c r="P3" i="1"/>
  <c r="O15" i="1"/>
  <c r="O13" i="1"/>
  <c r="P36" i="1"/>
  <c r="P53" i="1"/>
  <c r="P19" i="1"/>
  <c r="P10" i="1"/>
  <c r="O11" i="1"/>
  <c r="P31" i="1"/>
  <c r="O6" i="1"/>
  <c r="P58" i="1"/>
  <c r="O27" i="1"/>
  <c r="P37" i="1"/>
  <c r="P4" i="1"/>
  <c r="O7" i="1"/>
  <c r="P8" i="1"/>
  <c r="P17" i="1"/>
  <c r="O34" i="1"/>
  <c r="P41" i="1"/>
  <c r="O51" i="1"/>
  <c r="P18" i="1"/>
  <c r="P26" i="1"/>
  <c r="P6" i="1"/>
  <c r="P15" i="1"/>
  <c r="O23" i="1"/>
  <c r="P24" i="1"/>
  <c r="P38" i="1"/>
  <c r="O48" i="1"/>
  <c r="P49" i="1"/>
  <c r="P50" i="1"/>
  <c r="P51" i="1"/>
  <c r="M2" i="1"/>
  <c r="O2" i="1" s="1"/>
  <c r="O9" i="1"/>
  <c r="O32" i="1"/>
  <c r="O46" i="1"/>
  <c r="B19" i="2"/>
  <c r="O5" i="1"/>
  <c r="O39" i="1"/>
  <c r="O14" i="1"/>
  <c r="O17" i="1"/>
  <c r="P2" i="1" l="1"/>
</calcChain>
</file>

<file path=xl/sharedStrings.xml><?xml version="1.0" encoding="utf-8"?>
<sst xmlns="http://schemas.openxmlformats.org/spreadsheetml/2006/main" count="346" uniqueCount="110">
  <si>
    <t>Alabama</t>
  </si>
  <si>
    <t>Red</t>
  </si>
  <si>
    <t>Alaska</t>
  </si>
  <si>
    <t xml:space="preserve">Red </t>
  </si>
  <si>
    <t>American Samoa</t>
  </si>
  <si>
    <t>N/A</t>
  </si>
  <si>
    <t>Arizona</t>
  </si>
  <si>
    <t>Arkansas</t>
  </si>
  <si>
    <t>California</t>
  </si>
  <si>
    <t>Blue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</si>
  <si>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</si>
  <si>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</si>
  <si>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</si>
  <si>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</si>
  <si>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</si>
  <si>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</si>
  <si>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</si>
  <si>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</si>
  <si>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</si>
  <si>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</si>
  <si>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</si>
  <si>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</si>
  <si>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</si>
  <si>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</si>
  <si>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</si>
  <si>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</si>
  <si>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Purple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</si>
  <si>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</si>
  <si>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</si>
  <si>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</si>
  <si>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</si>
  <si>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</si>
  <si>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</si>
  <si>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</si>
  <si>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</si>
  <si>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</si>
  <si>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</si>
  <si>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</si>
  <si>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</si>
  <si>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</si>
  <si>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</si>
  <si>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</si>
  <si>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</si>
  <si>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</si>
  <si>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</si>
  <si>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</si>
  <si>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</si>
  <si>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</si>
  <si>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</si>
  <si>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</si>
  <si>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</si>
  <si>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</si>
  <si>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</si>
  <si>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</si>
  <si>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</si>
  <si>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</si>
  <si>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</si>
  <si>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</si>
  <si>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</si>
  <si>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</si>
  <si>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</si>
  <si>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N/a</t>
  </si>
  <si>
    <t>State</t>
  </si>
  <si>
    <t>Totals</t>
  </si>
  <si>
    <t>Percentage expended of 2018 amount as of 
September 2020</t>
  </si>
  <si>
    <t xml:space="preserve">Color based on electorate partisan leaning </t>
  </si>
  <si>
    <t>Interest earned</t>
  </si>
  <si>
    <t>Combined received 
and interest</t>
  </si>
  <si>
    <t>2020 funding received</t>
  </si>
  <si>
    <t>2020 expenditure</t>
  </si>
  <si>
    <t xml:space="preserve"> 2020 unexpended</t>
  </si>
  <si>
    <t>Percentage expended of 2020 amount</t>
  </si>
  <si>
    <t>2022 
funding</t>
  </si>
  <si>
    <t>2018, 2020, and 2022 funding received</t>
  </si>
  <si>
    <t>Sources</t>
  </si>
  <si>
    <t xml:space="preserve">U.S. Election Assistance Commission, "Funding Levels by State," available at https://www.eac.gov/funding-levels-by-state (last accessed August 2022). </t>
  </si>
  <si>
    <r>
      <t xml:space="preserve">U.S. Election Assistance Commission, "Funding Levels by State," </t>
    </r>
    <r>
      <rPr>
        <sz val="10"/>
        <rFont val="Verdana (Body)"/>
      </rPr>
      <t>available at https://www.eac.gov/funding-levels-by-state</t>
    </r>
    <r>
      <rPr>
        <sz val="10"/>
        <rFont val="Verdana"/>
        <family val="2"/>
        <scheme val="minor"/>
      </rPr>
      <t xml:space="preserve"> (last accessed August 2022).  </t>
    </r>
  </si>
  <si>
    <r>
      <t>U.S. Election Assistance Commission, "2020 Grant Expenditure Report" (Washington: 2</t>
    </r>
    <r>
      <rPr>
        <sz val="10"/>
        <rFont val="Verdana (Body)"/>
      </rPr>
      <t>021), available at https://www.eac.gov/sites/default/files/paymentgrants/expenditures/2020_State_Grant_Expenditure_Report_FINAL.pdf.</t>
    </r>
    <r>
      <rPr>
        <sz val="10"/>
        <color rgb="FF000000"/>
        <rFont val="Verdana"/>
        <family val="2"/>
        <scheme val="minor"/>
      </rPr>
      <t xml:space="preserve"> </t>
    </r>
  </si>
  <si>
    <t>U.S. Election Assistance Commission, "2020 Grant Expenditure Report" (Washington: 2021), available at https://www.eac.gov/sites/default/files/paymentgrants/expenditures/2020_State_Grant_Expenditure_Report_FINAL.pdf; U.S. Election Assistance Commission, "Funding Levels by State," available at https://www.eac.gov/funding-levels-by-state (last accessed August 2022).</t>
  </si>
  <si>
    <r>
      <t xml:space="preserve">Source: Nathaniel Rakich, "How Red or Blue Is Your State?", </t>
    </r>
    <r>
      <rPr>
        <sz val="10"/>
        <rFont val="Verdana"/>
        <family val="2"/>
        <scheme val="minor"/>
      </rPr>
      <t>FiveThirtyEight,</t>
    </r>
    <r>
      <rPr>
        <i/>
        <sz val="10"/>
        <rFont val="Verdana"/>
        <family val="2"/>
        <scheme val="minor"/>
      </rPr>
      <t xml:space="preserve"> </t>
    </r>
    <r>
      <rPr>
        <sz val="10"/>
        <color rgb="FF000000"/>
        <rFont val="Verdana"/>
        <family val="2"/>
        <scheme val="minor"/>
      </rPr>
      <t xml:space="preserve">May 27, 2021, available at </t>
    </r>
    <r>
      <rPr>
        <sz val="10"/>
        <rFont val="Verdana (Body)"/>
      </rPr>
      <t>https://fivethirtyeight.com/features/how-red-or-blue-is-your-state-your-congressional-district/.</t>
    </r>
    <r>
      <rPr>
        <sz val="10"/>
        <color rgb="FF000000"/>
        <rFont val="Verdana"/>
        <family val="2"/>
        <scheme val="minor"/>
      </rPr>
      <t xml:space="preserve"> </t>
    </r>
  </si>
  <si>
    <t>Percentage expended of 
 original amount</t>
  </si>
  <si>
    <t>2018 and 2020 funding received (not including interest)</t>
  </si>
  <si>
    <t>Total expenditure as of 
 March 2022 (including interest)</t>
  </si>
  <si>
    <t>Percentage expended of 2018 amount as of 
 March 2022</t>
  </si>
  <si>
    <t>2018 funding received</t>
  </si>
  <si>
    <t>Funding expended by September 2020</t>
  </si>
  <si>
    <t>Percentage expended of 2018 amount as of 
 September 2020</t>
  </si>
  <si>
    <t>Color based on electorate partisan leaning</t>
  </si>
  <si>
    <t>Combined received 
 and interest</t>
  </si>
  <si>
    <t>2020 unexpended</t>
  </si>
  <si>
    <t>2022 
 funding</t>
  </si>
  <si>
    <t>Blue state totals</t>
  </si>
  <si>
    <t>Share of all states total</t>
  </si>
  <si>
    <t>Median of blue</t>
  </si>
  <si>
    <t>Average of blue</t>
  </si>
  <si>
    <t>Purple state totals</t>
  </si>
  <si>
    <t>Median of purple</t>
  </si>
  <si>
    <t>Average of purple</t>
  </si>
  <si>
    <t>Red state total</t>
  </si>
  <si>
    <t>Median of red</t>
  </si>
  <si>
    <t>Average of red</t>
  </si>
  <si>
    <t xml:space="preserve">U.S. Election Assistance Commission, "'18 and '20 Combined Election Security Grants Expenditure as of 03/31/2022" (Washington: 2022), available at https://www.eac.gov/sites/default/files/paymentgrants/Election%20Security/Expenditure%20Snapshot/2022%20ES%20Grant%20Expenditures%205.31.2022.pdf. </t>
  </si>
  <si>
    <t>U.S. Election Assistance Commission, "'18 and '20 Combined Election Security Grants Expenditure as of 03/31/2022" (Washington: 2022), available at https://www.eac.gov/sites/default/files/paymentgrants/Election%20Security/Expenditure%20Snapshot/2022%20ES%20Grant%20Expenditures%205.31.2022.pdf.</t>
  </si>
  <si>
    <t>U.S. Election Assistance Commission, "'18 and '20 Combined Election Security Grants Expenditure as of 03/31/2022" (Washington: 2022), available at https://www.eac.gov/sites/default/files/paymentgrants/Election%20Security/Expenditure%20Snapshot/2022%20ES%20Grant%20Expenditures%205.31.2022.pdf; U.S. Election Assistance Commission, "Funding Levels by State," available at https://www.eac.gov/funding-levels-by-state (last accessed August 2022).</t>
  </si>
  <si>
    <t>U.S. Election Assistance Commission, "Funding Levels by State," available at https://www.eac.gov/funding-levels-by-state (last accessed August 2022).</t>
  </si>
  <si>
    <t xml:space="preserve">Percetage expended of 
original amount </t>
  </si>
  <si>
    <t>Total expenditure as of 
March 2022 (including interest)</t>
  </si>
  <si>
    <t>Percentage expended of 2018 amount as of 
March 2022</t>
  </si>
  <si>
    <t>Greta Bedekovics, "U.S. Election Funding: 5 Myths Debunked" (Washington: Center for American Progress, 2022), available at https://www.americanprogress.org/article/u-s-election-funding-5-myths-debunked/.</t>
  </si>
  <si>
    <t>Sources can be found on the first tab of this Excel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</si>
</sst>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6" x14ac:knownFonts="1">
    <font>
      <sz val="10"/>
      <color rgb="FF000000"/>
      <name val="Verdana"/>
      <scheme val="minor"/>
    </font>
    <font>
      <b/>
      <sz val="10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0"/>
      <color rgb="FF000000"/>
      <name val="Verdana"/>
      <family val="2"/>
      <scheme val="minor"/>
    </font>
    <font>
      <sz val="10"/>
      <color theme="1"/>
      <name val="Verdana"/>
      <family val="2"/>
      <scheme val="minor"/>
    </font>
    <font>
      <sz val="10"/>
      <color theme="1"/>
      <name val="Verdana"/>
      <family val="2"/>
      <scheme val="minor"/>
    </font>
    <font>
      <b/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b/>
      <sz val="10"/>
      <color rgb="FF1A1A1A"/>
      <name val="Verdana"/>
      <family val="2"/>
    </font>
    <font>
      <sz val="11"/>
      <color rgb="FF000000"/>
      <name val="Calibri"/>
      <family val="2"/>
    </font>
    <font>
      <sz val="10"/>
      <color rgb="FF000000"/>
      <name val="Verdana"/>
      <family val="2"/>
      <scheme val="minor"/>
    </font>
    <font>
      <sz val="10"/>
      <name val="Verdana"/>
      <family val="2"/>
      <scheme val="minor"/>
    </font>
    <font>
      <sz val="10"/>
      <name val="Verdana (Body)"/>
    </font>
    <font>
      <i/>
      <sz val="10"/>
      <name val="Verdana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E8E7FC"/>
        <bgColor rgb="FFE8E7FC"/>
      </patternFill>
    </fill>
    <fill>
      <patternFill patternType="solid">
        <fgColor rgb="FFFFFFFF"/>
        <bgColor rgb="FFFFFFFF"/>
      </patternFill>
    </fill>
    <fill>
      <patternFill patternType="solid">
        <fgColor rgb="FFE0F7FA"/>
        <bgColor rgb="FFE0F7FA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CFE7F5"/>
        <bgColor rgb="FFCFE7F5"/>
      </patternFill>
    </fill>
    <fill>
      <patternFill patternType="solid">
        <fgColor rgb="FFCFE2F3"/>
        <bgColor rgb="FFCFE2F3"/>
      </patternFill>
    </fill>
    <fill>
      <patternFill patternType="solid">
        <fgColor rgb="FFE7E6E6"/>
        <bgColor rgb="FFE7E6E6"/>
      </patternFill>
    </fill>
    <fill>
      <patternFill patternType="solid">
        <fgColor rgb="FFA5A5A5"/>
        <bgColor rgb="FFA5A5A5"/>
      </patternFill>
    </fill>
    <fill>
      <patternFill patternType="solid">
        <fgColor rgb="FFF4CCCC"/>
        <bgColor rgb="FFA5A5A5"/>
      </patternFill>
    </fill>
    <fill>
      <patternFill patternType="solid">
        <fgColor rgb="FFF4CCCC"/>
        <bgColor indexed="64"/>
      </patternFill>
    </fill>
    <fill>
      <patternFill patternType="solid">
        <fgColor theme="0"/>
        <bgColor rgb="FFE6F4F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E8E7FC"/>
      </patternFill>
    </fill>
    <fill>
      <patternFill patternType="solid">
        <fgColor theme="2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9" fontId="4" fillId="0" borderId="0" xfId="0" applyNumberFormat="1" applyFont="1" applyAlignment="1">
      <alignment horizontal="center"/>
    </xf>
    <xf numFmtId="165" fontId="5" fillId="0" borderId="0" xfId="0" applyNumberFormat="1" applyFont="1"/>
    <xf numFmtId="165" fontId="4" fillId="0" borderId="0" xfId="0" applyNumberFormat="1" applyFont="1"/>
    <xf numFmtId="9" fontId="4" fillId="3" borderId="0" xfId="0" applyNumberFormat="1" applyFont="1" applyFill="1"/>
    <xf numFmtId="165" fontId="4" fillId="3" borderId="0" xfId="0" applyNumberFormat="1" applyFont="1" applyFill="1"/>
    <xf numFmtId="0" fontId="4" fillId="5" borderId="0" xfId="0" applyFont="1" applyFill="1"/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/>
    <xf numFmtId="10" fontId="4" fillId="3" borderId="0" xfId="0" applyNumberFormat="1" applyFont="1" applyFill="1"/>
    <xf numFmtId="3" fontId="4" fillId="0" borderId="0" xfId="0" applyNumberFormat="1" applyFont="1"/>
    <xf numFmtId="0" fontId="1" fillId="6" borderId="0" xfId="0" applyFont="1" applyFill="1"/>
    <xf numFmtId="9" fontId="4" fillId="6" borderId="0" xfId="0" applyNumberFormat="1" applyFont="1" applyFill="1" applyAlignment="1">
      <alignment horizontal="center"/>
    </xf>
    <xf numFmtId="165" fontId="0" fillId="6" borderId="0" xfId="0" applyNumberFormat="1" applyFill="1"/>
    <xf numFmtId="165" fontId="4" fillId="6" borderId="0" xfId="0" applyNumberFormat="1" applyFont="1" applyFill="1"/>
    <xf numFmtId="9" fontId="4" fillId="6" borderId="0" xfId="0" applyNumberFormat="1" applyFont="1" applyFill="1"/>
    <xf numFmtId="0" fontId="4" fillId="6" borderId="0" xfId="0" applyFont="1" applyFill="1"/>
    <xf numFmtId="164" fontId="4" fillId="6" borderId="0" xfId="0" applyNumberFormat="1" applyFont="1" applyFill="1" applyAlignment="1">
      <alignment horizontal="right"/>
    </xf>
    <xf numFmtId="164" fontId="4" fillId="6" borderId="0" xfId="0" applyNumberFormat="1" applyFont="1" applyFill="1"/>
    <xf numFmtId="10" fontId="4" fillId="6" borderId="0" xfId="0" applyNumberFormat="1" applyFont="1" applyFill="1"/>
    <xf numFmtId="0" fontId="1" fillId="3" borderId="0" xfId="0" applyFont="1" applyFill="1"/>
    <xf numFmtId="3" fontId="5" fillId="0" borderId="0" xfId="0" applyNumberFormat="1" applyFont="1"/>
    <xf numFmtId="0" fontId="4" fillId="7" borderId="0" xfId="0" applyFont="1" applyFill="1"/>
    <xf numFmtId="165" fontId="5" fillId="6" borderId="0" xfId="0" applyNumberFormat="1" applyFont="1" applyFill="1"/>
    <xf numFmtId="0" fontId="4" fillId="8" borderId="0" xfId="0" applyFont="1" applyFill="1"/>
    <xf numFmtId="0" fontId="4" fillId="2" borderId="0" xfId="0" applyFont="1" applyFill="1"/>
    <xf numFmtId="165" fontId="4" fillId="6" borderId="0" xfId="0" applyNumberFormat="1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7" fillId="9" borderId="0" xfId="0" applyFont="1" applyFill="1" applyAlignment="1">
      <alignment horizontal="center"/>
    </xf>
    <xf numFmtId="9" fontId="7" fillId="9" borderId="0" xfId="0" applyNumberFormat="1" applyFont="1" applyFill="1" applyAlignment="1">
      <alignment horizontal="center"/>
    </xf>
    <xf numFmtId="165" fontId="7" fillId="9" borderId="0" xfId="0" applyNumberFormat="1" applyFont="1" applyFill="1" applyAlignment="1">
      <alignment horizontal="center"/>
    </xf>
    <xf numFmtId="0" fontId="8" fillId="9" borderId="0" xfId="0" applyFont="1" applyFill="1"/>
    <xf numFmtId="164" fontId="7" fillId="9" borderId="0" xfId="0" applyNumberFormat="1" applyFont="1" applyFill="1" applyAlignment="1">
      <alignment horizontal="center"/>
    </xf>
    <xf numFmtId="0" fontId="7" fillId="0" borderId="0" xfId="0" applyFont="1"/>
    <xf numFmtId="9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right"/>
    </xf>
    <xf numFmtId="9" fontId="8" fillId="3" borderId="0" xfId="0" applyNumberFormat="1" applyFont="1" applyFill="1" applyAlignment="1">
      <alignment horizontal="right"/>
    </xf>
    <xf numFmtId="0" fontId="8" fillId="7" borderId="0" xfId="0" applyFont="1" applyFill="1"/>
    <xf numFmtId="0" fontId="8" fillId="3" borderId="0" xfId="0" applyFont="1" applyFill="1"/>
    <xf numFmtId="164" fontId="8" fillId="3" borderId="0" xfId="0" applyNumberFormat="1" applyFont="1" applyFill="1" applyAlignment="1">
      <alignment horizontal="right"/>
    </xf>
    <xf numFmtId="10" fontId="8" fillId="3" borderId="0" xfId="0" applyNumberFormat="1" applyFont="1" applyFill="1" applyAlignment="1">
      <alignment horizontal="right"/>
    </xf>
    <xf numFmtId="0" fontId="8" fillId="0" borderId="0" xfId="0" applyFont="1"/>
    <xf numFmtId="0" fontId="7" fillId="3" borderId="0" xfId="0" applyFont="1" applyFill="1"/>
    <xf numFmtId="9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right"/>
    </xf>
    <xf numFmtId="0" fontId="8" fillId="8" borderId="0" xfId="0" applyFont="1" applyFill="1"/>
    <xf numFmtId="164" fontId="9" fillId="3" borderId="0" xfId="0" applyNumberFormat="1" applyFont="1" applyFill="1" applyAlignment="1">
      <alignment horizontal="right"/>
    </xf>
    <xf numFmtId="3" fontId="8" fillId="0" borderId="0" xfId="0" applyNumberFormat="1" applyFont="1" applyAlignment="1">
      <alignment horizontal="right"/>
    </xf>
    <xf numFmtId="0" fontId="6" fillId="7" borderId="0" xfId="0" applyFont="1" applyFill="1" applyAlignment="1">
      <alignment horizontal="center"/>
    </xf>
    <xf numFmtId="10" fontId="10" fillId="7" borderId="0" xfId="0" applyNumberFormat="1" applyFont="1" applyFill="1" applyAlignment="1">
      <alignment horizontal="center"/>
    </xf>
    <xf numFmtId="165" fontId="6" fillId="7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9" fontId="6" fillId="7" borderId="0" xfId="0" applyNumberFormat="1" applyFont="1" applyFill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horizontal="right"/>
    </xf>
    <xf numFmtId="0" fontId="11" fillId="0" borderId="0" xfId="0" applyFont="1"/>
    <xf numFmtId="9" fontId="11" fillId="0" borderId="0" xfId="0" applyNumberFormat="1" applyFont="1" applyAlignment="1">
      <alignment horizontal="right"/>
    </xf>
    <xf numFmtId="0" fontId="8" fillId="2" borderId="0" xfId="0" applyFont="1" applyFill="1"/>
    <xf numFmtId="9" fontId="8" fillId="0" borderId="0" xfId="0" applyNumberFormat="1" applyFont="1" applyAlignment="1">
      <alignment horizontal="right"/>
    </xf>
    <xf numFmtId="0" fontId="6" fillId="2" borderId="0" xfId="0" applyFont="1" applyFill="1" applyAlignment="1">
      <alignment horizontal="center"/>
    </xf>
    <xf numFmtId="10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9" fontId="6" fillId="2" borderId="0" xfId="0" applyNumberFormat="1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10" fontId="11" fillId="0" borderId="0" xfId="0" applyNumberFormat="1" applyFont="1" applyAlignment="1">
      <alignment horizontal="right"/>
    </xf>
    <xf numFmtId="0" fontId="7" fillId="10" borderId="0" xfId="0" applyFont="1" applyFill="1" applyAlignment="1">
      <alignment horizontal="center" wrapText="1"/>
    </xf>
    <xf numFmtId="0" fontId="8" fillId="10" borderId="0" xfId="0" applyFont="1" applyFill="1" applyAlignment="1">
      <alignment wrapText="1"/>
    </xf>
    <xf numFmtId="0" fontId="7" fillId="10" borderId="0" xfId="0" quotePrefix="1" applyFont="1" applyFill="1" applyAlignment="1">
      <alignment horizontal="center" wrapText="1"/>
    </xf>
    <xf numFmtId="0" fontId="8" fillId="5" borderId="0" xfId="0" applyFont="1" applyFill="1"/>
    <xf numFmtId="0" fontId="7" fillId="5" borderId="0" xfId="0" applyFont="1" applyFill="1" applyAlignment="1">
      <alignment horizontal="center"/>
    </xf>
    <xf numFmtId="10" fontId="7" fillId="5" borderId="0" xfId="0" applyNumberFormat="1" applyFont="1" applyFill="1" applyAlignment="1">
      <alignment horizontal="center"/>
    </xf>
    <xf numFmtId="165" fontId="7" fillId="5" borderId="0" xfId="0" applyNumberFormat="1" applyFont="1" applyFill="1" applyAlignment="1">
      <alignment horizontal="center"/>
    </xf>
    <xf numFmtId="9" fontId="7" fillId="5" borderId="0" xfId="0" applyNumberFormat="1" applyFont="1" applyFill="1" applyAlignment="1">
      <alignment horizontal="center"/>
    </xf>
    <xf numFmtId="164" fontId="7" fillId="5" borderId="0" xfId="0" applyNumberFormat="1" applyFont="1" applyFill="1" applyAlignment="1">
      <alignment horizontal="center"/>
    </xf>
    <xf numFmtId="0" fontId="7" fillId="6" borderId="0" xfId="0" applyFont="1" applyFill="1"/>
    <xf numFmtId="9" fontId="8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right"/>
    </xf>
    <xf numFmtId="9" fontId="8" fillId="6" borderId="0" xfId="0" applyNumberFormat="1" applyFont="1" applyFill="1" applyAlignment="1">
      <alignment horizontal="right"/>
    </xf>
    <xf numFmtId="0" fontId="8" fillId="6" borderId="0" xfId="0" applyFont="1" applyFill="1"/>
    <xf numFmtId="0" fontId="8" fillId="6" borderId="0" xfId="0" applyFont="1" applyFill="1" applyAlignment="1">
      <alignment horizontal="right"/>
    </xf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vertical="center" wrapText="1"/>
    </xf>
    <xf numFmtId="0" fontId="7" fillId="11" borderId="0" xfId="0" quotePrefix="1" applyFont="1" applyFill="1" applyAlignment="1">
      <alignment horizontal="center" vertical="center" wrapText="1"/>
    </xf>
    <xf numFmtId="0" fontId="0" fillId="12" borderId="0" xfId="0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7" fillId="2" borderId="0" xfId="0" quotePrefix="1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6" fillId="7" borderId="0" xfId="0" applyFont="1" applyFill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vertical="center" wrapText="1"/>
    </xf>
    <xf numFmtId="0" fontId="7" fillId="7" borderId="0" xfId="0" quotePrefix="1" applyFont="1" applyFill="1" applyAlignment="1">
      <alignment horizontal="center" vertical="center" wrapText="1"/>
    </xf>
    <xf numFmtId="0" fontId="1" fillId="13" borderId="0" xfId="0" applyFont="1" applyFill="1" applyAlignment="1">
      <alignment vertical="center" wrapText="1"/>
    </xf>
    <xf numFmtId="0" fontId="4" fillId="13" borderId="0" xfId="0" applyFont="1" applyFill="1" applyAlignment="1">
      <alignment vertical="center" wrapText="1"/>
    </xf>
    <xf numFmtId="164" fontId="4" fillId="13" borderId="0" xfId="0" applyNumberFormat="1" applyFont="1" applyFill="1" applyAlignment="1">
      <alignment vertical="center" wrapText="1"/>
    </xf>
    <xf numFmtId="0" fontId="12" fillId="14" borderId="0" xfId="0" applyFont="1" applyFill="1" applyAlignment="1">
      <alignment horizontal="center" vertical="center" wrapText="1" shrinkToFit="1"/>
    </xf>
    <xf numFmtId="0" fontId="12" fillId="14" borderId="0" xfId="0" applyFont="1" applyFill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0" fontId="0" fillId="14" borderId="0" xfId="0" applyFill="1" applyAlignment="1">
      <alignment vertical="center"/>
    </xf>
    <xf numFmtId="0" fontId="1" fillId="15" borderId="0" xfId="0" applyFont="1" applyFill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1" fillId="17" borderId="0" xfId="0" applyFont="1" applyFill="1" applyAlignment="1">
      <alignment horizontal="center" vertical="center" wrapText="1"/>
    </xf>
    <xf numFmtId="0" fontId="1" fillId="16" borderId="0" xfId="0" quotePrefix="1" applyFont="1" applyFill="1" applyAlignment="1">
      <alignment horizontal="center" vertical="center" wrapText="1"/>
    </xf>
    <xf numFmtId="164" fontId="1" fillId="16" borderId="0" xfId="0" applyNumberFormat="1" applyFont="1" applyFill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9" fontId="1" fillId="4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5" fontId="1" fillId="4" borderId="0" xfId="0" applyNumberFormat="1" applyFont="1" applyFill="1" applyAlignment="1">
      <alignment horizontal="center" vertical="center"/>
    </xf>
    <xf numFmtId="165" fontId="3" fillId="4" borderId="0" xfId="0" applyNumberFormat="1" applyFont="1" applyFill="1" applyAlignment="1">
      <alignment horizontal="center" vertical="center"/>
    </xf>
    <xf numFmtId="9" fontId="3" fillId="4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4" borderId="0" xfId="0" applyNumberFormat="1" applyFont="1" applyFill="1" applyAlignment="1">
      <alignment horizontal="center" vertical="center"/>
    </xf>
    <xf numFmtId="0" fontId="11" fillId="0" borderId="0" xfId="0" applyFont="1"/>
    <xf numFmtId="0" fontId="0" fillId="0" borderId="0" xfId="0"/>
    <xf numFmtId="0" fontId="12" fillId="0" borderId="0" xfId="0" applyFont="1"/>
    <xf numFmtId="0" fontId="4" fillId="0" borderId="0" xfId="0" applyFont="1"/>
    <xf numFmtId="0" fontId="8" fillId="0" borderId="0" xfId="0" applyFont="1" applyFill="1"/>
  </cellXfs>
  <cellStyles count="1">
    <cellStyle name="Normal" xfId="0" builtinId="0"/>
  </cellStyles>
  <dxfs count="41"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>
          <bgColor theme="2"/>
        </patternFill>
      </fill>
      <alignment vertical="center" textRotation="0" indent="0" justifyLastLine="0" shrinkToFit="0" readingOrder="0"/>
    </dxf>
    <dxf>
      <fill>
        <patternFill patternType="solid">
          <fgColor rgb="FFE8E7FC"/>
          <bgColor rgb="FFE8E7F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8E7FC"/>
          <bgColor rgb="FFE8E7FC"/>
        </patternFill>
      </fill>
    </dxf>
  </dxfs>
  <tableStyles count="1">
    <tableStyle name="Sheet1-style" pivot="0" count="3" xr9:uid="{00000000-0011-0000-FFFF-FFFF00000000}">
      <tableStyleElement type="headerRow" dxfId="40"/>
      <tableStyleElement type="firstRowStripe" dxfId="39"/>
      <tableStyleElement type="secondRowStripe" dxfId="38"/>
    </tableStyle>
  </tableStyles>
  <colors>
    <mruColors>
      <color rgb="FFF4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%20for%20Election%20Funding%20Report--COPYEDITEDCLEA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nding Statistics"/>
      <sheetName val="Spending Breakdown by Partisan 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I1" headerRowCount="0" headerRowDxfId="37" dataDxfId="36" totalsRowDxfId="35">
  <tableColumns count="35">
    <tableColumn id="1" xr3:uid="{00000000-0010-0000-0000-000001000000}" name="Column1" dataDxfId="34"/>
    <tableColumn id="2" xr3:uid="{00000000-0010-0000-0000-000002000000}" name="Column2" dataDxfId="33"/>
    <tableColumn id="3" xr3:uid="{00000000-0010-0000-0000-000003000000}" name="Column3" dataDxfId="32"/>
    <tableColumn id="4" xr3:uid="{00000000-0010-0000-0000-000004000000}" name="Column4" dataDxfId="31"/>
    <tableColumn id="5" xr3:uid="{00000000-0010-0000-0000-000005000000}" name="Column5" dataDxfId="30"/>
    <tableColumn id="6" xr3:uid="{00000000-0010-0000-0000-000006000000}" name="Column6" dataDxfId="29"/>
    <tableColumn id="7" xr3:uid="{00000000-0010-0000-0000-000007000000}" name="Column7" dataDxfId="28"/>
    <tableColumn id="8" xr3:uid="{00000000-0010-0000-0000-000008000000}" name="Column8" dataDxfId="27"/>
    <tableColumn id="9" xr3:uid="{00000000-0010-0000-0000-000009000000}" name="Column9" dataDxfId="26"/>
    <tableColumn id="10" xr3:uid="{00000000-0010-0000-0000-00000A000000}" name="Column10" dataDxfId="25"/>
    <tableColumn id="11" xr3:uid="{00000000-0010-0000-0000-00000B000000}" name="Column11" dataDxfId="24"/>
    <tableColumn id="12" xr3:uid="{00000000-0010-0000-0000-00000C000000}" name="Column12" dataDxfId="23"/>
    <tableColumn id="13" xr3:uid="{00000000-0010-0000-0000-00000D000000}" name="Column13" dataDxfId="22"/>
    <tableColumn id="14" xr3:uid="{00000000-0010-0000-0000-00000E000000}" name="Column14" dataDxfId="21"/>
    <tableColumn id="15" xr3:uid="{00000000-0010-0000-0000-00000F000000}" name="Column15" dataDxfId="20"/>
    <tableColumn id="16" xr3:uid="{00000000-0010-0000-0000-000010000000}" name="Column16" dataDxfId="19"/>
    <tableColumn id="17" xr3:uid="{00000000-0010-0000-0000-000011000000}" name="Column17" dataDxfId="18"/>
    <tableColumn id="18" xr3:uid="{00000000-0010-0000-0000-000012000000}" name="Column18" dataDxfId="17"/>
    <tableColumn id="19" xr3:uid="{00000000-0010-0000-0000-000013000000}" name="Column19" dataDxfId="16"/>
    <tableColumn id="20" xr3:uid="{00000000-0010-0000-0000-000014000000}" name="Column20" dataDxfId="15"/>
    <tableColumn id="21" xr3:uid="{00000000-0010-0000-0000-000015000000}" name="Column21" dataDxfId="14"/>
    <tableColumn id="22" xr3:uid="{00000000-0010-0000-0000-000016000000}" name="Column22" dataDxfId="13"/>
    <tableColumn id="23" xr3:uid="{00000000-0010-0000-0000-000017000000}" name="Column23" dataDxfId="12"/>
    <tableColumn id="24" xr3:uid="{00000000-0010-0000-0000-000018000000}" name="Column24" dataDxfId="11"/>
    <tableColumn id="25" xr3:uid="{00000000-0010-0000-0000-000019000000}" name="Column25" dataDxfId="10"/>
    <tableColumn id="26" xr3:uid="{00000000-0010-0000-0000-00001A000000}" name="Column26" dataDxfId="9"/>
    <tableColumn id="27" xr3:uid="{00000000-0010-0000-0000-00001B000000}" name="Column27" dataDxfId="8"/>
    <tableColumn id="28" xr3:uid="{00000000-0010-0000-0000-00001C000000}" name="Column28" dataDxfId="7"/>
    <tableColumn id="29" xr3:uid="{00000000-0010-0000-0000-00001D000000}" name="Column29" dataDxfId="6"/>
    <tableColumn id="30" xr3:uid="{00000000-0010-0000-0000-00001E000000}" name="Column30" dataDxfId="5"/>
    <tableColumn id="31" xr3:uid="{00000000-0010-0000-0000-00001F000000}" name="Column31" dataDxfId="4"/>
    <tableColumn id="32" xr3:uid="{00000000-0010-0000-0000-000020000000}" name="Column32" dataDxfId="3"/>
    <tableColumn id="33" xr3:uid="{00000000-0010-0000-0000-000021000000}" name="Column33" dataDxfId="2"/>
    <tableColumn id="34" xr3:uid="{00000000-0010-0000-0000-000022000000}" name="Column34" dataDxfId="1"/>
    <tableColumn id="35" xr3:uid="{00000000-0010-0000-0000-000023000000}" name="Column35" dataDxfId="0"/>
  </tableColumns>
  <tableStyleInfo name="Sheet1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61"/>
  <sheetViews>
    <sheetView zoomScale="200" zoomScaleNormal="200" workbookViewId="0">
      <pane xSplit="1" ySplit="2" topLeftCell="G59" activePane="bottomRight" state="frozen"/>
      <selection pane="topRight" activeCell="B1" sqref="B1"/>
      <selection pane="bottomLeft" activeCell="A3" sqref="A3"/>
      <selection pane="bottomRight" activeCell="A61" sqref="A61"/>
    </sheetView>
  </sheetViews>
  <sheetFormatPr baseColWidth="10" defaultColWidth="11.1640625" defaultRowHeight="15.75" customHeight="1" x14ac:dyDescent="0.15"/>
  <cols>
    <col min="1" max="1" width="19.6640625" customWidth="1"/>
    <col min="2" max="2" width="15.5" customWidth="1"/>
    <col min="3" max="3" width="18" customWidth="1"/>
    <col min="4" max="4" width="17.1640625" customWidth="1"/>
    <col min="5" max="5" width="22.1640625" customWidth="1"/>
    <col min="6" max="6" width="13.83203125" customWidth="1"/>
    <col min="7" max="7" width="18.83203125" customWidth="1"/>
    <col min="8" max="8" width="21" customWidth="1"/>
    <col min="9" max="9" width="25.1640625" customWidth="1"/>
    <col min="10" max="10" width="18.83203125" customWidth="1"/>
    <col min="11" max="11" width="21.5" customWidth="1"/>
    <col min="12" max="12" width="18.5" customWidth="1"/>
    <col min="13" max="13" width="18.83203125" customWidth="1"/>
    <col min="14" max="14" width="20.6640625" customWidth="1"/>
    <col min="15" max="15" width="21.33203125" customWidth="1"/>
    <col min="16" max="16" width="14.5" customWidth="1"/>
    <col min="17" max="17" width="14.33203125" customWidth="1"/>
    <col min="18" max="18" width="19.83203125" customWidth="1"/>
  </cols>
  <sheetData>
    <row r="1" spans="1:35" s="106" customFormat="1" ht="77" customHeight="1" x14ac:dyDescent="0.15">
      <c r="A1" s="101" t="s">
        <v>62</v>
      </c>
      <c r="B1" s="101" t="s">
        <v>105</v>
      </c>
      <c r="C1" s="101" t="s">
        <v>81</v>
      </c>
      <c r="D1" s="101" t="s">
        <v>106</v>
      </c>
      <c r="E1" s="101" t="s">
        <v>107</v>
      </c>
      <c r="F1" s="101" t="s">
        <v>84</v>
      </c>
      <c r="G1" s="102" t="s">
        <v>85</v>
      </c>
      <c r="H1" s="102" t="s">
        <v>64</v>
      </c>
      <c r="I1" s="101" t="s">
        <v>65</v>
      </c>
      <c r="J1" s="103"/>
      <c r="K1" s="101" t="s">
        <v>66</v>
      </c>
      <c r="L1" s="101" t="s">
        <v>67</v>
      </c>
      <c r="M1" s="102" t="s">
        <v>68</v>
      </c>
      <c r="N1" s="104" t="s">
        <v>69</v>
      </c>
      <c r="O1" s="105" t="s">
        <v>70</v>
      </c>
      <c r="P1" s="105" t="s">
        <v>71</v>
      </c>
      <c r="Q1" s="101" t="s">
        <v>72</v>
      </c>
      <c r="R1" s="101" t="s">
        <v>73</v>
      </c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</row>
    <row r="2" spans="1:35" s="89" customFormat="1" ht="34" customHeight="1" x14ac:dyDescent="0.15">
      <c r="A2" s="107" t="s">
        <v>63</v>
      </c>
      <c r="B2" s="108">
        <f>(D2/C2)</f>
        <v>0.53099164850975566</v>
      </c>
      <c r="C2" s="109">
        <f>SUM(C3:C57)</f>
        <v>798978602</v>
      </c>
      <c r="D2" s="110">
        <f t="shared" ref="D2" si="0">SUM(D3:D57)</f>
        <v>424250965</v>
      </c>
      <c r="E2" s="108">
        <v>1.1200000000000001</v>
      </c>
      <c r="F2" s="110">
        <v>380000000</v>
      </c>
      <c r="G2" s="111">
        <v>255252660</v>
      </c>
      <c r="H2" s="112">
        <f t="shared" ref="H2:H22" si="1">(G2/F2)</f>
        <v>0.67171752631578951</v>
      </c>
      <c r="I2" s="107"/>
      <c r="J2" s="113"/>
      <c r="K2" s="110">
        <v>16164696</v>
      </c>
      <c r="L2" s="110">
        <f t="shared" ref="L2:M2" si="2">SUM(L3:L57)</f>
        <v>814867487</v>
      </c>
      <c r="M2" s="114">
        <f t="shared" si="2"/>
        <v>421978602</v>
      </c>
      <c r="N2" s="114">
        <f>SUM(N3:N57)</f>
        <v>103382605</v>
      </c>
      <c r="O2" s="114">
        <f t="shared" ref="O2:O8" si="3">(M2-N2)</f>
        <v>318595997</v>
      </c>
      <c r="P2" s="108">
        <f t="shared" ref="P2:P58" si="4">(N2/M2)</f>
        <v>0.24499489905414681</v>
      </c>
      <c r="Q2" s="110">
        <v>75000000</v>
      </c>
      <c r="R2" s="110">
        <f t="shared" ref="R2:R58" si="5">SUM(C2+Q2)</f>
        <v>873978602</v>
      </c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</row>
    <row r="3" spans="1:35" ht="15.75" customHeight="1" x14ac:dyDescent="0.15">
      <c r="A3" s="1" t="s">
        <v>0</v>
      </c>
      <c r="B3" s="2">
        <f ca="1">IFERROR(__xludf.DUMMYFUNCTION("TO_PERCENT(D3/C3)"),0.629292956458596)</f>
        <v>0.62929295645859595</v>
      </c>
      <c r="C3" s="3">
        <v>13088416</v>
      </c>
      <c r="D3" s="4">
        <v>8236448</v>
      </c>
      <c r="E3" s="5">
        <f t="shared" ref="E3:E15" si="6">(D3/F3)</f>
        <v>1.3370004153955761</v>
      </c>
      <c r="F3" s="4">
        <v>6160393</v>
      </c>
      <c r="G3" s="6">
        <v>3353653</v>
      </c>
      <c r="H3" s="5">
        <f t="shared" si="1"/>
        <v>0.54438945697133279</v>
      </c>
      <c r="I3" s="7" t="s">
        <v>1</v>
      </c>
      <c r="J3" s="8"/>
      <c r="K3" s="4">
        <v>274362</v>
      </c>
      <c r="L3" s="4">
        <f t="shared" ref="L3:L58" si="7">SUM(C3+K3)</f>
        <v>13362778</v>
      </c>
      <c r="M3" s="9">
        <f t="shared" ref="M3:M58" si="8">(C3-F3)</f>
        <v>6928023</v>
      </c>
      <c r="N3" s="10">
        <f t="shared" ref="N3:N8" si="9">(D3-F3)</f>
        <v>2076055</v>
      </c>
      <c r="O3" s="10">
        <f t="shared" si="3"/>
        <v>4851968</v>
      </c>
      <c r="P3" s="11">
        <f t="shared" si="4"/>
        <v>0.29966052364433549</v>
      </c>
      <c r="Q3" s="4">
        <v>1067681</v>
      </c>
      <c r="R3" s="4">
        <f t="shared" si="5"/>
        <v>14156097</v>
      </c>
    </row>
    <row r="4" spans="1:35" ht="15.75" customHeight="1" x14ac:dyDescent="0.15">
      <c r="A4" s="1" t="s">
        <v>2</v>
      </c>
      <c r="B4" s="2">
        <f ca="1">IFERROR(__xludf.DUMMYFUNCTION("TO_PERCENT(D4/C4)"),0.745936333333333)</f>
        <v>0.74593633333333298</v>
      </c>
      <c r="C4" s="3">
        <v>6000000</v>
      </c>
      <c r="D4" s="4">
        <v>4475618</v>
      </c>
      <c r="E4" s="5">
        <f t="shared" si="6"/>
        <v>1.4918726666666666</v>
      </c>
      <c r="F4" s="4">
        <v>3000000</v>
      </c>
      <c r="G4" s="12">
        <v>4370858</v>
      </c>
      <c r="H4" s="5">
        <f t="shared" si="1"/>
        <v>1.4569526666666666</v>
      </c>
      <c r="I4" s="7" t="s">
        <v>3</v>
      </c>
      <c r="J4" s="8"/>
      <c r="K4" s="4">
        <v>156202</v>
      </c>
      <c r="L4" s="4">
        <f t="shared" si="7"/>
        <v>6156202</v>
      </c>
      <c r="M4" s="9">
        <f t="shared" si="8"/>
        <v>3000000</v>
      </c>
      <c r="N4" s="10">
        <f t="shared" si="9"/>
        <v>1475618</v>
      </c>
      <c r="O4" s="10">
        <f t="shared" si="3"/>
        <v>1524382</v>
      </c>
      <c r="P4" s="11">
        <f t="shared" si="4"/>
        <v>0.49187266666666668</v>
      </c>
      <c r="Q4" s="4">
        <v>1000000</v>
      </c>
      <c r="R4" s="4">
        <f t="shared" si="5"/>
        <v>7000000</v>
      </c>
    </row>
    <row r="5" spans="1:35" ht="15.75" customHeight="1" x14ac:dyDescent="0.15">
      <c r="A5" s="13" t="s">
        <v>4</v>
      </c>
      <c r="B5" s="14">
        <f ca="1">IFERROR(__xludf.DUMMYFUNCTION("TO_PERCENT(D5/C5)"),0.707048333333333)</f>
        <v>0.70704833333333295</v>
      </c>
      <c r="C5" s="15">
        <v>1200000</v>
      </c>
      <c r="D5" s="16">
        <v>848458</v>
      </c>
      <c r="E5" s="17">
        <f t="shared" si="6"/>
        <v>1.4140966666666666</v>
      </c>
      <c r="F5" s="16">
        <v>600000</v>
      </c>
      <c r="G5" s="16">
        <v>451170</v>
      </c>
      <c r="H5" s="17">
        <f t="shared" si="1"/>
        <v>0.75195000000000001</v>
      </c>
      <c r="I5" s="18" t="s">
        <v>5</v>
      </c>
      <c r="J5" s="8"/>
      <c r="K5" s="16">
        <v>0</v>
      </c>
      <c r="L5" s="16">
        <f t="shared" si="7"/>
        <v>1200000</v>
      </c>
      <c r="M5" s="19">
        <f t="shared" si="8"/>
        <v>600000</v>
      </c>
      <c r="N5" s="20">
        <f t="shared" si="9"/>
        <v>248458</v>
      </c>
      <c r="O5" s="20">
        <f t="shared" si="3"/>
        <v>351542</v>
      </c>
      <c r="P5" s="21">
        <f t="shared" si="4"/>
        <v>0.41409666666666667</v>
      </c>
      <c r="Q5" s="16">
        <v>200000</v>
      </c>
      <c r="R5" s="16">
        <f t="shared" si="5"/>
        <v>1400000</v>
      </c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</row>
    <row r="6" spans="1:35" ht="15.75" customHeight="1" x14ac:dyDescent="0.15">
      <c r="A6" s="22" t="s">
        <v>6</v>
      </c>
      <c r="B6" s="2">
        <f ca="1">IFERROR(__xludf.DUMMYFUNCTION("TO_PERCENT(D6/C6)"),0.763781530692881)</f>
        <v>0.76378153069288102</v>
      </c>
      <c r="C6" s="23">
        <v>15860974</v>
      </c>
      <c r="D6" s="4">
        <v>12114319</v>
      </c>
      <c r="E6" s="5">
        <f t="shared" si="6"/>
        <v>1.6231037659062058</v>
      </c>
      <c r="F6" s="4">
        <v>7463675</v>
      </c>
      <c r="G6" s="4">
        <v>8483595</v>
      </c>
      <c r="H6" s="5">
        <f t="shared" si="1"/>
        <v>1.1366511805511359</v>
      </c>
      <c r="I6" s="7" t="s">
        <v>1</v>
      </c>
      <c r="J6" s="8"/>
      <c r="K6" s="4">
        <v>320324</v>
      </c>
      <c r="L6" s="12">
        <f t="shared" si="7"/>
        <v>16181298</v>
      </c>
      <c r="M6" s="9">
        <f t="shared" si="8"/>
        <v>8397299</v>
      </c>
      <c r="N6" s="10">
        <f t="shared" si="9"/>
        <v>4650644</v>
      </c>
      <c r="O6" s="10">
        <f t="shared" si="3"/>
        <v>3746655</v>
      </c>
      <c r="P6" s="11">
        <f t="shared" si="4"/>
        <v>0.55382617672658796</v>
      </c>
      <c r="Q6" s="4">
        <v>1355000</v>
      </c>
      <c r="R6" s="12">
        <f t="shared" si="5"/>
        <v>17215974</v>
      </c>
    </row>
    <row r="7" spans="1:35" ht="15.75" customHeight="1" x14ac:dyDescent="0.15">
      <c r="A7" s="1" t="s">
        <v>7</v>
      </c>
      <c r="B7" s="2">
        <f ca="1">IFERROR(__xludf.DUMMYFUNCTION("TO_PERCENT(D7/C7)"),0.63181805745554)</f>
        <v>0.63181805745553998</v>
      </c>
      <c r="C7" s="3">
        <v>9503000</v>
      </c>
      <c r="D7" s="4">
        <v>6004167</v>
      </c>
      <c r="E7" s="5">
        <f t="shared" si="6"/>
        <v>1.3417087987414567</v>
      </c>
      <c r="F7" s="4">
        <v>4475015</v>
      </c>
      <c r="G7" s="4">
        <v>5336664</v>
      </c>
      <c r="H7" s="5">
        <f t="shared" si="1"/>
        <v>1.192546617162177</v>
      </c>
      <c r="I7" s="7" t="s">
        <v>1</v>
      </c>
      <c r="J7" s="8"/>
      <c r="K7" s="4">
        <v>105130</v>
      </c>
      <c r="L7" s="4">
        <f t="shared" si="7"/>
        <v>9608130</v>
      </c>
      <c r="M7" s="9">
        <f t="shared" si="8"/>
        <v>5027985</v>
      </c>
      <c r="N7" s="10">
        <f t="shared" si="9"/>
        <v>1529152</v>
      </c>
      <c r="O7" s="10">
        <f t="shared" si="3"/>
        <v>3498833</v>
      </c>
      <c r="P7" s="11">
        <f t="shared" si="4"/>
        <v>0.30412819449540918</v>
      </c>
      <c r="Q7" s="4">
        <v>1000000</v>
      </c>
      <c r="R7" s="4">
        <f t="shared" si="5"/>
        <v>10503000</v>
      </c>
    </row>
    <row r="8" spans="1:35" ht="15.75" customHeight="1" x14ac:dyDescent="0.15">
      <c r="A8" s="1" t="s">
        <v>8</v>
      </c>
      <c r="B8" s="2">
        <f ca="1">IFERROR(__xludf.DUMMYFUNCTION("TO_PERCENT(D8/C8)"),0.634541455565809)</f>
        <v>0.63454145556580899</v>
      </c>
      <c r="C8" s="3">
        <v>73502386</v>
      </c>
      <c r="D8" s="4">
        <v>46640311</v>
      </c>
      <c r="E8" s="5">
        <f t="shared" si="6"/>
        <v>1.3495900068966367</v>
      </c>
      <c r="F8" s="4">
        <v>34558874</v>
      </c>
      <c r="G8" s="4">
        <v>5535494</v>
      </c>
      <c r="H8" s="5">
        <f t="shared" si="1"/>
        <v>0.16017576267097128</v>
      </c>
      <c r="I8" s="24" t="s">
        <v>9</v>
      </c>
      <c r="J8" s="8"/>
      <c r="K8" s="4">
        <v>1163102</v>
      </c>
      <c r="L8" s="4">
        <f t="shared" si="7"/>
        <v>74665488</v>
      </c>
      <c r="M8" s="9">
        <f t="shared" si="8"/>
        <v>38943512</v>
      </c>
      <c r="N8" s="10">
        <f t="shared" si="9"/>
        <v>12081437</v>
      </c>
      <c r="O8" s="10">
        <f t="shared" si="3"/>
        <v>26862075</v>
      </c>
      <c r="P8" s="11">
        <f t="shared" si="4"/>
        <v>0.310229775886674</v>
      </c>
      <c r="Q8" s="4">
        <v>5826224</v>
      </c>
      <c r="R8" s="4">
        <f t="shared" si="5"/>
        <v>79328610</v>
      </c>
    </row>
    <row r="9" spans="1:35" ht="15.75" customHeight="1" x14ac:dyDescent="0.15">
      <c r="A9" s="1" t="s">
        <v>10</v>
      </c>
      <c r="B9" s="2">
        <f ca="1">IFERROR(__xludf.DUMMYFUNCTION("TO_PERCENT(D9/C9)"),0.165790905184545)</f>
        <v>0.16579090518454501</v>
      </c>
      <c r="C9" s="3">
        <v>13476843</v>
      </c>
      <c r="D9" s="4">
        <v>2234338</v>
      </c>
      <c r="E9" s="5">
        <f t="shared" si="6"/>
        <v>0.35225372809842187</v>
      </c>
      <c r="F9" s="4">
        <v>6342979</v>
      </c>
      <c r="G9" s="4">
        <v>1049403</v>
      </c>
      <c r="H9" s="5">
        <f t="shared" si="1"/>
        <v>0.16544324047107833</v>
      </c>
      <c r="I9" s="24" t="s">
        <v>9</v>
      </c>
      <c r="J9" s="8"/>
      <c r="K9" s="4">
        <v>553664</v>
      </c>
      <c r="L9" s="4">
        <f t="shared" si="7"/>
        <v>14030507</v>
      </c>
      <c r="M9" s="9">
        <f t="shared" si="8"/>
        <v>7133864</v>
      </c>
      <c r="N9" s="10">
        <v>0</v>
      </c>
      <c r="O9" s="10">
        <f>(M9)</f>
        <v>7133864</v>
      </c>
      <c r="P9" s="11">
        <f t="shared" si="4"/>
        <v>0</v>
      </c>
      <c r="Q9" s="4">
        <v>1172438</v>
      </c>
      <c r="R9" s="4">
        <f t="shared" si="5"/>
        <v>14649281</v>
      </c>
      <c r="S9" s="8"/>
    </row>
    <row r="10" spans="1:35" ht="15.75" customHeight="1" x14ac:dyDescent="0.15">
      <c r="A10" s="1" t="s">
        <v>11</v>
      </c>
      <c r="B10" s="2">
        <f ca="1">IFERROR(__xludf.DUMMYFUNCTION("TO_PERCENT(D10/C10)"),0.766220638676873)</f>
        <v>0.76622063867687296</v>
      </c>
      <c r="C10" s="3">
        <v>10876298</v>
      </c>
      <c r="D10" s="4">
        <v>8333644</v>
      </c>
      <c r="E10" s="5">
        <f t="shared" si="6"/>
        <v>1.6274887443819555</v>
      </c>
      <c r="F10" s="4">
        <v>5120554</v>
      </c>
      <c r="G10" s="6">
        <v>5833956</v>
      </c>
      <c r="H10" s="5">
        <f t="shared" si="1"/>
        <v>1.1393212531300325</v>
      </c>
      <c r="I10" s="24" t="s">
        <v>9</v>
      </c>
      <c r="J10" s="8"/>
      <c r="K10" s="4">
        <v>283616</v>
      </c>
      <c r="L10" s="4">
        <f t="shared" si="7"/>
        <v>11159914</v>
      </c>
      <c r="M10" s="9">
        <f t="shared" si="8"/>
        <v>5755744</v>
      </c>
      <c r="N10" s="10">
        <f t="shared" ref="N10:N15" si="10">(D10-F10)</f>
        <v>3213090</v>
      </c>
      <c r="O10" s="10">
        <f t="shared" ref="O10:O15" si="11">(M10-N10)</f>
        <v>2542654</v>
      </c>
      <c r="P10" s="11">
        <f t="shared" si="4"/>
        <v>0.55824060277871979</v>
      </c>
      <c r="Q10" s="4">
        <v>1000000</v>
      </c>
      <c r="R10" s="4">
        <f t="shared" si="5"/>
        <v>11876298</v>
      </c>
    </row>
    <row r="11" spans="1:35" ht="15.75" customHeight="1" x14ac:dyDescent="0.15">
      <c r="A11" s="1" t="s">
        <v>12</v>
      </c>
      <c r="B11" s="2">
        <f ca="1">IFERROR(__xludf.DUMMYFUNCTION("TO_PERCENT(D11/C11)"),0.973628937151195)</f>
        <v>0.97362893715119503</v>
      </c>
      <c r="C11" s="3">
        <v>6036503</v>
      </c>
      <c r="D11" s="4">
        <v>5877314</v>
      </c>
      <c r="E11" s="5">
        <f t="shared" si="6"/>
        <v>1.9591046666666667</v>
      </c>
      <c r="F11" s="4">
        <v>3000000</v>
      </c>
      <c r="G11" s="4">
        <v>5963519</v>
      </c>
      <c r="H11" s="5">
        <f t="shared" si="1"/>
        <v>1.9878396666666667</v>
      </c>
      <c r="I11" s="24" t="s">
        <v>9</v>
      </c>
      <c r="J11" s="8"/>
      <c r="K11" s="4">
        <v>19742</v>
      </c>
      <c r="L11" s="4">
        <f t="shared" si="7"/>
        <v>6056245</v>
      </c>
      <c r="M11" s="9">
        <f t="shared" si="8"/>
        <v>3036503</v>
      </c>
      <c r="N11" s="10">
        <f t="shared" si="10"/>
        <v>2877314</v>
      </c>
      <c r="O11" s="10">
        <f t="shared" si="11"/>
        <v>159189</v>
      </c>
      <c r="P11" s="11">
        <f t="shared" si="4"/>
        <v>0.947574891248255</v>
      </c>
      <c r="Q11" s="4">
        <v>1000000</v>
      </c>
      <c r="R11" s="4">
        <f t="shared" si="5"/>
        <v>7036503</v>
      </c>
      <c r="S11" s="8"/>
    </row>
    <row r="12" spans="1:35" ht="15.75" customHeight="1" x14ac:dyDescent="0.15">
      <c r="A12" s="13" t="s">
        <v>13</v>
      </c>
      <c r="B12" s="14">
        <f ca="1">IFERROR(__xludf.DUMMYFUNCTION("TO_PERCENT(D12/C12)"),0.887654166666666)</f>
        <v>0.88765416666666597</v>
      </c>
      <c r="C12" s="25">
        <v>6000000</v>
      </c>
      <c r="D12" s="16">
        <v>5325925</v>
      </c>
      <c r="E12" s="17">
        <f t="shared" si="6"/>
        <v>1.7753083333333333</v>
      </c>
      <c r="F12" s="16">
        <v>3000000</v>
      </c>
      <c r="G12" s="16">
        <v>4487398</v>
      </c>
      <c r="H12" s="17">
        <f t="shared" si="1"/>
        <v>1.4957993333333333</v>
      </c>
      <c r="I12" s="26" t="s">
        <v>9</v>
      </c>
      <c r="J12" s="8"/>
      <c r="K12" s="16">
        <v>98665</v>
      </c>
      <c r="L12" s="16">
        <f t="shared" si="7"/>
        <v>6098665</v>
      </c>
      <c r="M12" s="19">
        <f t="shared" si="8"/>
        <v>3000000</v>
      </c>
      <c r="N12" s="20">
        <f t="shared" si="10"/>
        <v>2325925</v>
      </c>
      <c r="O12" s="20">
        <f t="shared" si="11"/>
        <v>674075</v>
      </c>
      <c r="P12" s="21">
        <f t="shared" si="4"/>
        <v>0.77530833333333338</v>
      </c>
      <c r="Q12" s="16">
        <v>1000000</v>
      </c>
      <c r="R12" s="16">
        <f t="shared" si="5"/>
        <v>7000000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</row>
    <row r="13" spans="1:35" ht="15.75" customHeight="1" x14ac:dyDescent="0.15">
      <c r="A13" s="1" t="s">
        <v>14</v>
      </c>
      <c r="B13" s="2">
        <f ca="1">IFERROR(__xludf.DUMMYFUNCTION("TO_PERCENT(D13/C13)"),0.599911766403514)</f>
        <v>0.59991176640351396</v>
      </c>
      <c r="C13" s="3">
        <v>40800785</v>
      </c>
      <c r="D13" s="4">
        <v>24476871</v>
      </c>
      <c r="E13" s="5">
        <f t="shared" si="6"/>
        <v>1.2757005875279219</v>
      </c>
      <c r="F13" s="4">
        <v>19187003</v>
      </c>
      <c r="G13" s="4">
        <v>21257468</v>
      </c>
      <c r="H13" s="5">
        <f t="shared" si="1"/>
        <v>1.1079097657930215</v>
      </c>
      <c r="I13" s="7" t="s">
        <v>1</v>
      </c>
      <c r="J13" s="8"/>
      <c r="K13" s="4">
        <v>547648</v>
      </c>
      <c r="L13" s="4">
        <f t="shared" si="7"/>
        <v>41348433</v>
      </c>
      <c r="M13" s="9">
        <f t="shared" si="8"/>
        <v>21613782</v>
      </c>
      <c r="N13" s="10">
        <f t="shared" si="10"/>
        <v>5289868</v>
      </c>
      <c r="O13" s="10">
        <f t="shared" si="11"/>
        <v>16323914</v>
      </c>
      <c r="P13" s="11">
        <f t="shared" si="4"/>
        <v>0.244745135303021</v>
      </c>
      <c r="Q13" s="4">
        <v>3441134</v>
      </c>
      <c r="R13" s="4">
        <f t="shared" si="5"/>
        <v>44241919</v>
      </c>
    </row>
    <row r="14" spans="1:35" ht="15.75" customHeight="1" x14ac:dyDescent="0.15">
      <c r="A14" s="1" t="s">
        <v>15</v>
      </c>
      <c r="B14" s="2">
        <v>1.02</v>
      </c>
      <c r="C14" s="3">
        <v>21907178</v>
      </c>
      <c r="D14" s="4">
        <v>22369065</v>
      </c>
      <c r="E14" s="5">
        <f t="shared" si="6"/>
        <v>2.170535222796754</v>
      </c>
      <c r="F14" s="4">
        <v>10305783</v>
      </c>
      <c r="G14" s="4">
        <v>7918749</v>
      </c>
      <c r="H14" s="5">
        <f t="shared" si="1"/>
        <v>0.76837917118961263</v>
      </c>
      <c r="I14" s="7" t="s">
        <v>1</v>
      </c>
      <c r="J14" s="8"/>
      <c r="K14" s="4">
        <v>34671</v>
      </c>
      <c r="L14" s="4">
        <f t="shared" si="7"/>
        <v>21941849</v>
      </c>
      <c r="M14" s="9">
        <f t="shared" si="8"/>
        <v>11601395</v>
      </c>
      <c r="N14" s="10">
        <f t="shared" si="10"/>
        <v>12063282</v>
      </c>
      <c r="O14" s="10">
        <f t="shared" si="11"/>
        <v>-461887</v>
      </c>
      <c r="P14" s="11">
        <f t="shared" si="4"/>
        <v>1.0398130569642703</v>
      </c>
      <c r="Q14" s="4">
        <v>1828609</v>
      </c>
      <c r="R14" s="4">
        <f t="shared" si="5"/>
        <v>23735787</v>
      </c>
    </row>
    <row r="15" spans="1:35" ht="15.75" customHeight="1" x14ac:dyDescent="0.15">
      <c r="A15" s="13" t="s">
        <v>16</v>
      </c>
      <c r="B15" s="14">
        <f ca="1">IFERROR(__xludf.DUMMYFUNCTION("TO_PERCENT(D15/C15)"),0.501429166666666)</f>
        <v>0.50142916666666604</v>
      </c>
      <c r="C15" s="25">
        <v>1200000</v>
      </c>
      <c r="D15" s="16">
        <v>601715</v>
      </c>
      <c r="E15" s="17">
        <f t="shared" si="6"/>
        <v>1.0028583333333334</v>
      </c>
      <c r="F15" s="16">
        <v>600000</v>
      </c>
      <c r="G15" s="16">
        <v>474223</v>
      </c>
      <c r="H15" s="17">
        <f t="shared" si="1"/>
        <v>0.79037166666666669</v>
      </c>
      <c r="I15" s="18" t="s">
        <v>5</v>
      </c>
      <c r="J15" s="8"/>
      <c r="K15" s="16">
        <v>6995</v>
      </c>
      <c r="L15" s="16">
        <f t="shared" si="7"/>
        <v>1206995</v>
      </c>
      <c r="M15" s="19">
        <f t="shared" si="8"/>
        <v>600000</v>
      </c>
      <c r="N15" s="20">
        <f t="shared" si="10"/>
        <v>1715</v>
      </c>
      <c r="O15" s="20">
        <f t="shared" si="11"/>
        <v>598285</v>
      </c>
      <c r="P15" s="21">
        <f t="shared" si="4"/>
        <v>2.8583333333333334E-3</v>
      </c>
      <c r="Q15" s="16">
        <v>200000</v>
      </c>
      <c r="R15" s="16">
        <f t="shared" si="5"/>
        <v>1400000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</row>
    <row r="16" spans="1:35" ht="15.75" customHeight="1" x14ac:dyDescent="0.15">
      <c r="A16" s="1" t="s">
        <v>17</v>
      </c>
      <c r="B16" s="2">
        <f ca="1">IFERROR(__xludf.DUMMYFUNCTION("TO_PERCENT(D16/C16)"),0.0710508944062444)</f>
        <v>7.1050894406244403E-2</v>
      </c>
      <c r="C16" s="3">
        <v>6642675</v>
      </c>
      <c r="D16" s="4">
        <v>471968</v>
      </c>
      <c r="E16" s="5">
        <v>0.15</v>
      </c>
      <c r="F16" s="4">
        <v>3134080</v>
      </c>
      <c r="G16" s="4">
        <v>366052</v>
      </c>
      <c r="H16" s="5">
        <f t="shared" si="1"/>
        <v>0.11679727384112722</v>
      </c>
      <c r="I16" s="24" t="s">
        <v>9</v>
      </c>
      <c r="J16" s="8"/>
      <c r="K16" s="4">
        <v>106201</v>
      </c>
      <c r="L16" s="4">
        <f t="shared" si="7"/>
        <v>6748876</v>
      </c>
      <c r="M16" s="9">
        <f t="shared" si="8"/>
        <v>3508595</v>
      </c>
      <c r="N16" s="10">
        <v>0</v>
      </c>
      <c r="O16" s="10">
        <f>(M16)</f>
        <v>3508595</v>
      </c>
      <c r="P16" s="11">
        <f t="shared" si="4"/>
        <v>0</v>
      </c>
      <c r="Q16" s="4">
        <v>1000000</v>
      </c>
      <c r="R16" s="4">
        <f t="shared" si="5"/>
        <v>7642675</v>
      </c>
    </row>
    <row r="17" spans="1:19" ht="15.75" customHeight="1" x14ac:dyDescent="0.15">
      <c r="A17" s="1" t="s">
        <v>18</v>
      </c>
      <c r="B17" s="2">
        <f ca="1">IFERROR(__xludf.DUMMYFUNCTION("TO_PERCENT(D17/C17)"),0.637626608946137)</f>
        <v>0.63762660894613699</v>
      </c>
      <c r="C17" s="3">
        <v>6854176</v>
      </c>
      <c r="D17" s="4">
        <v>4370405</v>
      </c>
      <c r="E17" s="5">
        <v>1.35</v>
      </c>
      <c r="F17" s="4">
        <v>3229896</v>
      </c>
      <c r="G17" s="4">
        <v>2388077</v>
      </c>
      <c r="H17" s="5">
        <f t="shared" si="1"/>
        <v>0.73936653068705616</v>
      </c>
      <c r="I17" s="7" t="s">
        <v>1</v>
      </c>
      <c r="J17" s="8"/>
      <c r="K17" s="4">
        <v>142194</v>
      </c>
      <c r="L17" s="4">
        <f t="shared" si="7"/>
        <v>6996370</v>
      </c>
      <c r="M17" s="9">
        <f t="shared" si="8"/>
        <v>3624280</v>
      </c>
      <c r="N17" s="10">
        <f>(D17-F17)</f>
        <v>1140509</v>
      </c>
      <c r="O17" s="10">
        <f>(M17-N17)</f>
        <v>2483771</v>
      </c>
      <c r="P17" s="11">
        <f t="shared" si="4"/>
        <v>0.31468567549968546</v>
      </c>
      <c r="Q17" s="4">
        <v>1000000</v>
      </c>
      <c r="R17" s="4">
        <f t="shared" si="5"/>
        <v>7854176</v>
      </c>
    </row>
    <row r="18" spans="1:19" ht="15.75" customHeight="1" x14ac:dyDescent="0.15">
      <c r="A18" s="1" t="s">
        <v>19</v>
      </c>
      <c r="B18" s="2">
        <f ca="1">IFERROR(__xludf.DUMMYFUNCTION("TO_PERCENT(D18/C18)"),0.380974537668134)</f>
        <v>0.38097453766813399</v>
      </c>
      <c r="C18" s="3">
        <v>28132930</v>
      </c>
      <c r="D18" s="4">
        <v>10717930</v>
      </c>
      <c r="E18" s="5">
        <v>0.81</v>
      </c>
      <c r="F18" s="4">
        <v>13232290</v>
      </c>
      <c r="G18" s="4">
        <v>4485343</v>
      </c>
      <c r="H18" s="5">
        <f t="shared" si="1"/>
        <v>0.33896952077078119</v>
      </c>
      <c r="I18" s="24" t="s">
        <v>9</v>
      </c>
      <c r="J18" s="8"/>
      <c r="K18" s="4">
        <v>630778</v>
      </c>
      <c r="L18" s="4">
        <f t="shared" si="7"/>
        <v>28763708</v>
      </c>
      <c r="M18" s="9">
        <f t="shared" si="8"/>
        <v>14900640</v>
      </c>
      <c r="N18" s="10">
        <v>0</v>
      </c>
      <c r="O18" s="10">
        <f>(M18)</f>
        <v>14900640</v>
      </c>
      <c r="P18" s="11">
        <f t="shared" si="4"/>
        <v>0</v>
      </c>
      <c r="Q18" s="4">
        <v>2143228</v>
      </c>
      <c r="R18" s="4">
        <f t="shared" si="5"/>
        <v>30276158</v>
      </c>
      <c r="S18" s="8"/>
    </row>
    <row r="19" spans="1:19" ht="15.75" customHeight="1" x14ac:dyDescent="0.15">
      <c r="A19" s="1" t="s">
        <v>20</v>
      </c>
      <c r="B19" s="2">
        <f ca="1">IFERROR(__xludf.DUMMYFUNCTION("TO_PERCENT(D19/C19)"),1.01292453900387)</f>
        <v>1.0129245390038699</v>
      </c>
      <c r="C19" s="3">
        <v>16140537</v>
      </c>
      <c r="D19" s="4">
        <v>16349146</v>
      </c>
      <c r="E19" s="5">
        <v>2.15</v>
      </c>
      <c r="F19" s="4">
        <v>7595088</v>
      </c>
      <c r="G19" s="4">
        <v>8816793</v>
      </c>
      <c r="H19" s="5">
        <f t="shared" si="1"/>
        <v>1.1608546207759542</v>
      </c>
      <c r="I19" s="7" t="s">
        <v>1</v>
      </c>
      <c r="J19" s="8"/>
      <c r="K19" s="4">
        <v>209373</v>
      </c>
      <c r="L19" s="4">
        <f t="shared" si="7"/>
        <v>16349910</v>
      </c>
      <c r="M19" s="9">
        <f t="shared" si="8"/>
        <v>8545449</v>
      </c>
      <c r="N19" s="10">
        <f>(D19-F19)</f>
        <v>8754058</v>
      </c>
      <c r="O19" s="10">
        <f>(M19-N19)</f>
        <v>-208609</v>
      </c>
      <c r="P19" s="11">
        <f t="shared" si="4"/>
        <v>1.0244117073310015</v>
      </c>
      <c r="Q19" s="4">
        <v>1293215</v>
      </c>
      <c r="R19" s="4">
        <f t="shared" si="5"/>
        <v>17433752</v>
      </c>
    </row>
    <row r="20" spans="1:19" ht="15.75" customHeight="1" x14ac:dyDescent="0.15">
      <c r="A20" s="1" t="s">
        <v>21</v>
      </c>
      <c r="B20" s="2">
        <f ca="1">IFERROR(__xludf.DUMMYFUNCTION("TO_PERCENT(D20/C20)"),0.417629538752312)</f>
        <v>0.41762953875231201</v>
      </c>
      <c r="C20" s="3">
        <v>9786087</v>
      </c>
      <c r="D20" s="4">
        <v>4086959</v>
      </c>
      <c r="E20" s="5">
        <v>0.89</v>
      </c>
      <c r="F20" s="4">
        <v>4608084</v>
      </c>
      <c r="G20" s="4">
        <v>2062124</v>
      </c>
      <c r="H20" s="5">
        <f t="shared" si="1"/>
        <v>0.44750139103367037</v>
      </c>
      <c r="I20" s="7" t="s">
        <v>1</v>
      </c>
      <c r="J20" s="8"/>
      <c r="K20" s="4">
        <v>183169</v>
      </c>
      <c r="L20" s="4">
        <f t="shared" si="7"/>
        <v>9969256</v>
      </c>
      <c r="M20" s="9">
        <f t="shared" si="8"/>
        <v>5178003</v>
      </c>
      <c r="N20" s="10">
        <v>0</v>
      </c>
      <c r="O20" s="10">
        <f t="shared" ref="O20:O28" si="12">(M20)</f>
        <v>5178003</v>
      </c>
      <c r="P20" s="11">
        <f t="shared" si="4"/>
        <v>0</v>
      </c>
      <c r="Q20" s="4">
        <v>1000000</v>
      </c>
      <c r="R20" s="4">
        <f t="shared" si="5"/>
        <v>10786087</v>
      </c>
    </row>
    <row r="21" spans="1:19" ht="15.75" customHeight="1" x14ac:dyDescent="0.15">
      <c r="A21" s="1" t="s">
        <v>22</v>
      </c>
      <c r="B21" s="2">
        <f ca="1">IFERROR(__xludf.DUMMYFUNCTION("TO_PERCENT(D21/C21)"),0.39523421348795)</f>
        <v>0.39523421348795001</v>
      </c>
      <c r="C21" s="3">
        <v>9308516</v>
      </c>
      <c r="D21" s="4">
        <v>3679044</v>
      </c>
      <c r="E21" s="5">
        <v>0.84</v>
      </c>
      <c r="F21" s="4">
        <v>4383595</v>
      </c>
      <c r="G21" s="4">
        <v>19200</v>
      </c>
      <c r="H21" s="5">
        <f t="shared" si="1"/>
        <v>4.3799666711911113E-3</v>
      </c>
      <c r="I21" s="7" t="s">
        <v>1</v>
      </c>
      <c r="J21" s="8"/>
      <c r="K21" s="4">
        <v>107565</v>
      </c>
      <c r="L21" s="4">
        <f t="shared" si="7"/>
        <v>9416081</v>
      </c>
      <c r="M21" s="9">
        <f t="shared" si="8"/>
        <v>4924921</v>
      </c>
      <c r="N21" s="10">
        <v>0</v>
      </c>
      <c r="O21" s="10">
        <f t="shared" si="12"/>
        <v>4924921</v>
      </c>
      <c r="P21" s="11">
        <f t="shared" si="4"/>
        <v>0</v>
      </c>
      <c r="Q21" s="4">
        <v>1000000</v>
      </c>
      <c r="R21" s="4">
        <f t="shared" si="5"/>
        <v>10308516</v>
      </c>
    </row>
    <row r="22" spans="1:19" ht="15.75" customHeight="1" x14ac:dyDescent="0.15">
      <c r="A22" s="1" t="s">
        <v>23</v>
      </c>
      <c r="B22" s="2">
        <f ca="1">IFERROR(__xludf.DUMMYFUNCTION("TO_PERCENT(D22/C22)"),0.461169330533756)</f>
        <v>0.46116933053375597</v>
      </c>
      <c r="C22" s="3">
        <v>12265189</v>
      </c>
      <c r="D22" s="4">
        <v>5656329</v>
      </c>
      <c r="E22" s="5">
        <v>0.98</v>
      </c>
      <c r="F22" s="4">
        <v>5773423</v>
      </c>
      <c r="G22" s="4">
        <v>5763113</v>
      </c>
      <c r="H22" s="5">
        <f t="shared" si="1"/>
        <v>0.99821423096835271</v>
      </c>
      <c r="I22" s="7" t="s">
        <v>1</v>
      </c>
      <c r="J22" s="8"/>
      <c r="K22" s="4">
        <v>123253</v>
      </c>
      <c r="L22" s="4">
        <f t="shared" si="7"/>
        <v>12388442</v>
      </c>
      <c r="M22" s="9">
        <f t="shared" si="8"/>
        <v>6491766</v>
      </c>
      <c r="N22" s="10">
        <v>0</v>
      </c>
      <c r="O22" s="10">
        <f t="shared" si="12"/>
        <v>6491766</v>
      </c>
      <c r="P22" s="11">
        <f t="shared" si="4"/>
        <v>0</v>
      </c>
      <c r="Q22" s="4">
        <v>1000000</v>
      </c>
      <c r="R22" s="4">
        <f t="shared" si="5"/>
        <v>13265189</v>
      </c>
    </row>
    <row r="23" spans="1:19" ht="15.75" customHeight="1" x14ac:dyDescent="0.15">
      <c r="A23" s="1" t="s">
        <v>24</v>
      </c>
      <c r="B23" s="2">
        <f ca="1">IFERROR(__xludf.DUMMYFUNCTION("TO_PERCENT(D23/C23)"),0)</f>
        <v>0</v>
      </c>
      <c r="C23" s="3">
        <v>12512099</v>
      </c>
      <c r="D23" s="4">
        <v>0</v>
      </c>
      <c r="E23" s="5">
        <v>0</v>
      </c>
      <c r="F23" s="4">
        <v>5889487</v>
      </c>
      <c r="G23" s="6">
        <v>0</v>
      </c>
      <c r="H23" s="5">
        <v>0</v>
      </c>
      <c r="I23" s="7" t="s">
        <v>1</v>
      </c>
      <c r="J23" s="8"/>
      <c r="K23" s="4">
        <v>202061</v>
      </c>
      <c r="L23" s="4">
        <f t="shared" si="7"/>
        <v>12714160</v>
      </c>
      <c r="M23" s="9">
        <f t="shared" si="8"/>
        <v>6622612</v>
      </c>
      <c r="N23" s="10">
        <v>0</v>
      </c>
      <c r="O23" s="10">
        <f t="shared" si="12"/>
        <v>6622612</v>
      </c>
      <c r="P23" s="11">
        <f t="shared" si="4"/>
        <v>0</v>
      </c>
      <c r="Q23" s="4">
        <v>1006388</v>
      </c>
      <c r="R23" s="4">
        <f t="shared" si="5"/>
        <v>13518487</v>
      </c>
    </row>
    <row r="24" spans="1:19" ht="15.75" customHeight="1" x14ac:dyDescent="0.15">
      <c r="A24" s="1" t="s">
        <v>25</v>
      </c>
      <c r="B24" s="2">
        <f ca="1">IFERROR(__xludf.DUMMYFUNCTION("TO_PERCENT(D24/C24)"),0.0471023638331585)</f>
        <v>4.7102363833158502E-2</v>
      </c>
      <c r="C24" s="3">
        <v>6643743</v>
      </c>
      <c r="D24" s="4">
        <v>312936</v>
      </c>
      <c r="E24" s="5">
        <v>0.1</v>
      </c>
      <c r="F24" s="4">
        <v>3130979</v>
      </c>
      <c r="G24" s="4">
        <v>277290</v>
      </c>
      <c r="H24" s="5">
        <f t="shared" ref="H24:H38" si="13">(G24/F24)</f>
        <v>8.8563353507002118E-2</v>
      </c>
      <c r="I24" s="27" t="s">
        <v>26</v>
      </c>
      <c r="J24" s="8"/>
      <c r="K24" s="4">
        <v>158912</v>
      </c>
      <c r="L24" s="4">
        <f t="shared" si="7"/>
        <v>6802655</v>
      </c>
      <c r="M24" s="9">
        <f t="shared" si="8"/>
        <v>3512764</v>
      </c>
      <c r="N24" s="10">
        <v>0</v>
      </c>
      <c r="O24" s="10">
        <f t="shared" si="12"/>
        <v>3512764</v>
      </c>
      <c r="P24" s="11">
        <f t="shared" si="4"/>
        <v>0</v>
      </c>
      <c r="Q24" s="4">
        <v>1000000</v>
      </c>
      <c r="R24" s="4">
        <f t="shared" si="5"/>
        <v>7643743</v>
      </c>
    </row>
    <row r="25" spans="1:19" ht="15.75" customHeight="1" x14ac:dyDescent="0.15">
      <c r="A25" s="1" t="s">
        <v>27</v>
      </c>
      <c r="B25" s="2">
        <f ca="1">IFERROR(__xludf.DUMMYFUNCTION("TO_PERCENT(D25/C25)"),0.324925271878982)</f>
        <v>0.32492527187898201</v>
      </c>
      <c r="C25" s="3">
        <v>15010079</v>
      </c>
      <c r="D25" s="4">
        <v>4877154</v>
      </c>
      <c r="E25" s="5">
        <v>0.69</v>
      </c>
      <c r="F25" s="4">
        <v>7063699</v>
      </c>
      <c r="G25" s="4">
        <v>3947074</v>
      </c>
      <c r="H25" s="5">
        <f t="shared" si="13"/>
        <v>0.55878286999488513</v>
      </c>
      <c r="I25" s="24" t="s">
        <v>9</v>
      </c>
      <c r="J25" s="8"/>
      <c r="K25" s="4">
        <v>58196</v>
      </c>
      <c r="L25" s="4">
        <f t="shared" si="7"/>
        <v>15068275</v>
      </c>
      <c r="M25" s="9">
        <f t="shared" si="8"/>
        <v>7946380</v>
      </c>
      <c r="N25" s="10">
        <v>0</v>
      </c>
      <c r="O25" s="10">
        <f t="shared" si="12"/>
        <v>7946380</v>
      </c>
      <c r="P25" s="11">
        <f t="shared" si="4"/>
        <v>0</v>
      </c>
      <c r="Q25" s="4">
        <v>1226483</v>
      </c>
      <c r="R25" s="4">
        <f t="shared" si="5"/>
        <v>16236562</v>
      </c>
    </row>
    <row r="26" spans="1:19" ht="15.75" customHeight="1" x14ac:dyDescent="0.15">
      <c r="A26" s="1" t="s">
        <v>28</v>
      </c>
      <c r="B26" s="2">
        <f ca="1">IFERROR(__xludf.DUMMYFUNCTION("TO_PERCENT(D26/C26)"),0.431621480118356)</f>
        <v>0.43162148011835599</v>
      </c>
      <c r="C26" s="3">
        <v>16769740</v>
      </c>
      <c r="D26" s="4">
        <v>7238180</v>
      </c>
      <c r="E26" s="5">
        <v>0.92</v>
      </c>
      <c r="F26" s="4">
        <v>7890854</v>
      </c>
      <c r="G26" s="4">
        <v>3624331</v>
      </c>
      <c r="H26" s="5">
        <f t="shared" si="13"/>
        <v>0.45930782650395002</v>
      </c>
      <c r="I26" s="24" t="s">
        <v>9</v>
      </c>
      <c r="J26" s="8"/>
      <c r="K26" s="4">
        <v>337874</v>
      </c>
      <c r="L26" s="4">
        <f t="shared" si="7"/>
        <v>17107614</v>
      </c>
      <c r="M26" s="9">
        <f t="shared" si="8"/>
        <v>8878886</v>
      </c>
      <c r="N26" s="10">
        <v>0</v>
      </c>
      <c r="O26" s="10">
        <f t="shared" si="12"/>
        <v>8878886</v>
      </c>
      <c r="P26" s="11">
        <f t="shared" si="4"/>
        <v>0</v>
      </c>
      <c r="Q26" s="4">
        <v>1376528</v>
      </c>
      <c r="R26" s="4">
        <f t="shared" si="5"/>
        <v>18146268</v>
      </c>
      <c r="S26" s="8"/>
    </row>
    <row r="27" spans="1:19" ht="15.75" customHeight="1" x14ac:dyDescent="0.15">
      <c r="A27" s="1" t="s">
        <v>29</v>
      </c>
      <c r="B27" s="2">
        <f ca="1">IFERROR(__xludf.DUMMYFUNCTION("TO_PERCENT(D27/C27)"),0.277917938980515)</f>
        <v>0.27791793898051498</v>
      </c>
      <c r="C27" s="3">
        <v>22760697</v>
      </c>
      <c r="D27" s="4">
        <v>6325606</v>
      </c>
      <c r="E27" s="5">
        <v>0.59</v>
      </c>
      <c r="F27" s="4">
        <v>10706992</v>
      </c>
      <c r="G27" s="4">
        <v>2441648</v>
      </c>
      <c r="H27" s="5">
        <f t="shared" si="13"/>
        <v>0.22804238576063193</v>
      </c>
      <c r="I27" s="27" t="s">
        <v>26</v>
      </c>
      <c r="J27" s="8"/>
      <c r="K27" s="4">
        <v>490666</v>
      </c>
      <c r="L27" s="4">
        <f t="shared" si="7"/>
        <v>23251363</v>
      </c>
      <c r="M27" s="9">
        <f t="shared" si="8"/>
        <v>12053705</v>
      </c>
      <c r="N27" s="10">
        <v>0</v>
      </c>
      <c r="O27" s="10">
        <f t="shared" si="12"/>
        <v>12053705</v>
      </c>
      <c r="P27" s="11">
        <f t="shared" si="4"/>
        <v>0</v>
      </c>
      <c r="Q27" s="4">
        <v>1774556</v>
      </c>
      <c r="R27" s="4">
        <f t="shared" si="5"/>
        <v>24535253</v>
      </c>
    </row>
    <row r="28" spans="1:19" ht="15.75" customHeight="1" x14ac:dyDescent="0.15">
      <c r="A28" s="22" t="s">
        <v>30</v>
      </c>
      <c r="B28" s="2">
        <f ca="1">IFERROR(__xludf.DUMMYFUNCTION("TO_PERCENT(D28/C28)"),0.233522630699168)</f>
        <v>0.23352263069916801</v>
      </c>
      <c r="C28" s="3">
        <v>14014282</v>
      </c>
      <c r="D28" s="4">
        <v>3272652</v>
      </c>
      <c r="E28" s="5">
        <v>0.5</v>
      </c>
      <c r="F28" s="4">
        <v>6595610</v>
      </c>
      <c r="G28" s="4">
        <v>1101579</v>
      </c>
      <c r="H28" s="5">
        <f t="shared" si="13"/>
        <v>0.16701700070198208</v>
      </c>
      <c r="I28" s="27" t="s">
        <v>26</v>
      </c>
      <c r="J28" s="8"/>
      <c r="K28" s="4">
        <v>386580</v>
      </c>
      <c r="L28" s="4">
        <f t="shared" si="7"/>
        <v>14400862</v>
      </c>
      <c r="M28" s="9">
        <f t="shared" si="8"/>
        <v>7418672</v>
      </c>
      <c r="N28" s="10">
        <v>0</v>
      </c>
      <c r="O28" s="10">
        <f t="shared" si="12"/>
        <v>7418672</v>
      </c>
      <c r="P28" s="11">
        <f t="shared" si="4"/>
        <v>0</v>
      </c>
      <c r="Q28" s="4">
        <v>1151122</v>
      </c>
      <c r="R28" s="4">
        <f t="shared" si="5"/>
        <v>15165404</v>
      </c>
    </row>
    <row r="29" spans="1:19" ht="15.75" customHeight="1" x14ac:dyDescent="0.15">
      <c r="A29" s="1" t="s">
        <v>31</v>
      </c>
      <c r="B29" s="2">
        <f ca="1">IFERROR(__xludf.DUMMYFUNCTION("TO_PERCENT(D29/C29)"),0.797221277248715)</f>
        <v>0.79722127724871505</v>
      </c>
      <c r="C29" s="3">
        <v>9521137</v>
      </c>
      <c r="D29" s="4">
        <v>7590453</v>
      </c>
      <c r="E29" s="5">
        <v>1.69</v>
      </c>
      <c r="F29" s="4">
        <v>4483541</v>
      </c>
      <c r="G29" s="4">
        <v>8628501</v>
      </c>
      <c r="H29" s="5">
        <f t="shared" si="13"/>
        <v>1.9244835722479174</v>
      </c>
      <c r="I29" s="7" t="s">
        <v>1</v>
      </c>
      <c r="J29" s="8"/>
      <c r="K29" s="4">
        <v>263151</v>
      </c>
      <c r="L29" s="4">
        <f t="shared" si="7"/>
        <v>9784288</v>
      </c>
      <c r="M29" s="9">
        <f t="shared" si="8"/>
        <v>5037596</v>
      </c>
      <c r="N29" s="10">
        <f>(D29-F29)</f>
        <v>3106912</v>
      </c>
      <c r="O29" s="10">
        <f>(M29-N29)</f>
        <v>1930684</v>
      </c>
      <c r="P29" s="11">
        <f t="shared" si="4"/>
        <v>0.6167449712124593</v>
      </c>
      <c r="Q29" s="4">
        <v>1000000</v>
      </c>
      <c r="R29" s="6">
        <f t="shared" si="5"/>
        <v>10521137</v>
      </c>
    </row>
    <row r="30" spans="1:19" ht="15.75" customHeight="1" x14ac:dyDescent="0.15">
      <c r="A30" s="1" t="s">
        <v>32</v>
      </c>
      <c r="B30" s="2">
        <f ca="1">IFERROR(__xludf.DUMMYFUNCTION("TO_PERCENT(D30/C30)"),0.257815929525379)</f>
        <v>0.25781592952537902</v>
      </c>
      <c r="C30" s="3">
        <v>15365191</v>
      </c>
      <c r="D30" s="4">
        <v>3961391</v>
      </c>
      <c r="E30" s="5">
        <v>0.55000000000000004</v>
      </c>
      <c r="F30" s="4">
        <v>7230625</v>
      </c>
      <c r="G30" s="4">
        <v>2549269</v>
      </c>
      <c r="H30" s="5">
        <f t="shared" si="13"/>
        <v>0.35256551128014524</v>
      </c>
      <c r="I30" s="7" t="s">
        <v>1</v>
      </c>
      <c r="J30" s="8"/>
      <c r="K30" s="4">
        <v>368252</v>
      </c>
      <c r="L30" s="4">
        <f t="shared" si="7"/>
        <v>15733443</v>
      </c>
      <c r="M30" s="9">
        <f t="shared" si="8"/>
        <v>8134566</v>
      </c>
      <c r="N30" s="10">
        <v>0</v>
      </c>
      <c r="O30" s="10">
        <f>(M30)</f>
        <v>8134566</v>
      </c>
      <c r="P30" s="11">
        <f t="shared" si="4"/>
        <v>0</v>
      </c>
      <c r="Q30" s="4">
        <v>1219482</v>
      </c>
      <c r="R30" s="4">
        <f t="shared" si="5"/>
        <v>16584673</v>
      </c>
    </row>
    <row r="31" spans="1:19" ht="15.75" customHeight="1" x14ac:dyDescent="0.15">
      <c r="A31" s="1" t="s">
        <v>33</v>
      </c>
      <c r="B31" s="2">
        <f ca="1">IFERROR(__xludf.DUMMYFUNCTION("TO_PERCENT(D31/C31)"),0.562680248828774)</f>
        <v>0.56268024882877399</v>
      </c>
      <c r="C31" s="3">
        <v>6133535</v>
      </c>
      <c r="D31" s="4">
        <v>3451219</v>
      </c>
      <c r="E31" s="5">
        <v>1.1499999999999999</v>
      </c>
      <c r="F31" s="4">
        <v>3000000</v>
      </c>
      <c r="G31" s="6">
        <v>2315202</v>
      </c>
      <c r="H31" s="5">
        <f t="shared" si="13"/>
        <v>0.77173400000000003</v>
      </c>
      <c r="I31" s="7" t="s">
        <v>1</v>
      </c>
      <c r="J31" s="8"/>
      <c r="K31" s="4">
        <v>135189</v>
      </c>
      <c r="L31" s="4">
        <f t="shared" si="7"/>
        <v>6268724</v>
      </c>
      <c r="M31" s="9">
        <f t="shared" si="8"/>
        <v>3133535</v>
      </c>
      <c r="N31" s="10">
        <f>(D31-F31)</f>
        <v>451219</v>
      </c>
      <c r="O31" s="10">
        <f>(M31-N31)</f>
        <v>2682316</v>
      </c>
      <c r="P31" s="11">
        <f t="shared" si="4"/>
        <v>0.1439967959508989</v>
      </c>
      <c r="Q31" s="4">
        <v>1000000</v>
      </c>
      <c r="R31" s="4">
        <f t="shared" si="5"/>
        <v>7133535</v>
      </c>
    </row>
    <row r="32" spans="1:19" ht="15.75" customHeight="1" x14ac:dyDescent="0.15">
      <c r="A32" s="1" t="s">
        <v>34</v>
      </c>
      <c r="B32" s="2">
        <f ca="1">IFERROR(__xludf.DUMMYFUNCTION("TO_PERCENT(D32/C32)"),0.321724303137531)</f>
        <v>0.32172430313753098</v>
      </c>
      <c r="C32" s="3">
        <v>7422268</v>
      </c>
      <c r="D32" s="4">
        <v>2387924</v>
      </c>
      <c r="E32" s="5">
        <v>0.68</v>
      </c>
      <c r="F32" s="4">
        <v>3496936</v>
      </c>
      <c r="G32" s="4">
        <v>1534553</v>
      </c>
      <c r="H32" s="5">
        <f t="shared" si="13"/>
        <v>0.43882787674695789</v>
      </c>
      <c r="I32" s="7" t="s">
        <v>1</v>
      </c>
      <c r="J32" s="8"/>
      <c r="K32" s="4">
        <v>340586</v>
      </c>
      <c r="L32" s="4">
        <f t="shared" si="7"/>
        <v>7762854</v>
      </c>
      <c r="M32" s="9">
        <f t="shared" si="8"/>
        <v>3925332</v>
      </c>
      <c r="N32" s="10">
        <v>0</v>
      </c>
      <c r="O32" s="10">
        <f t="shared" ref="O32:O35" si="14">(M32)</f>
        <v>3925332</v>
      </c>
      <c r="P32" s="11">
        <f t="shared" si="4"/>
        <v>0</v>
      </c>
      <c r="Q32" s="4">
        <v>1000000</v>
      </c>
      <c r="R32" s="4">
        <f t="shared" si="5"/>
        <v>8422268</v>
      </c>
    </row>
    <row r="33" spans="1:35" ht="15.75" customHeight="1" x14ac:dyDescent="0.15">
      <c r="A33" s="1" t="s">
        <v>35</v>
      </c>
      <c r="B33" s="2">
        <f ca="1">IFERROR(__xludf.DUMMYFUNCTION("TO_PERCENT(D33/C33)"),0.403937253111125)</f>
        <v>0.40393725311112499</v>
      </c>
      <c r="C33" s="3">
        <v>9083287</v>
      </c>
      <c r="D33" s="4">
        <v>3669078</v>
      </c>
      <c r="E33" s="5">
        <v>0.86</v>
      </c>
      <c r="F33" s="4">
        <v>4277723</v>
      </c>
      <c r="G33" s="4">
        <v>1698658</v>
      </c>
      <c r="H33" s="5">
        <f t="shared" si="13"/>
        <v>0.39709396798249907</v>
      </c>
      <c r="I33" s="27" t="s">
        <v>26</v>
      </c>
      <c r="J33" s="8"/>
      <c r="K33" s="4">
        <v>214046</v>
      </c>
      <c r="L33" s="4">
        <f t="shared" si="7"/>
        <v>9297333</v>
      </c>
      <c r="M33" s="9">
        <f t="shared" si="8"/>
        <v>4805564</v>
      </c>
      <c r="N33" s="10">
        <v>0</v>
      </c>
      <c r="O33" s="10">
        <f t="shared" si="14"/>
        <v>4805564</v>
      </c>
      <c r="P33" s="11">
        <f t="shared" si="4"/>
        <v>0</v>
      </c>
      <c r="Q33" s="4">
        <v>1000000</v>
      </c>
      <c r="R33" s="4">
        <f t="shared" si="5"/>
        <v>10083287</v>
      </c>
    </row>
    <row r="34" spans="1:35" ht="15.75" customHeight="1" x14ac:dyDescent="0.15">
      <c r="A34" s="1" t="s">
        <v>36</v>
      </c>
      <c r="B34" s="2">
        <f ca="1">IFERROR(__xludf.DUMMYFUNCTION("TO_PERCENT(D34/C34)"),0.341662978932594)</f>
        <v>0.34166297893259401</v>
      </c>
      <c r="C34" s="3">
        <v>6582633</v>
      </c>
      <c r="D34" s="4">
        <v>2249042</v>
      </c>
      <c r="E34" s="5">
        <f t="shared" ref="E34:E35" si="15">(D34/F34)</f>
        <v>0.72497052948292739</v>
      </c>
      <c r="F34" s="4">
        <v>3102253</v>
      </c>
      <c r="G34" s="4">
        <v>1858696</v>
      </c>
      <c r="H34" s="5">
        <f t="shared" si="13"/>
        <v>0.59914391250487953</v>
      </c>
      <c r="I34" s="27" t="s">
        <v>26</v>
      </c>
      <c r="J34" s="8"/>
      <c r="K34" s="4">
        <v>128623</v>
      </c>
      <c r="L34" s="4">
        <f t="shared" si="7"/>
        <v>6711256</v>
      </c>
      <c r="M34" s="9">
        <f t="shared" si="8"/>
        <v>3480380</v>
      </c>
      <c r="N34" s="10">
        <v>0</v>
      </c>
      <c r="O34" s="10">
        <f t="shared" si="14"/>
        <v>3480380</v>
      </c>
      <c r="P34" s="11">
        <f t="shared" si="4"/>
        <v>0</v>
      </c>
      <c r="Q34" s="4">
        <v>1000000</v>
      </c>
      <c r="R34" s="4">
        <f t="shared" si="5"/>
        <v>7582633</v>
      </c>
    </row>
    <row r="35" spans="1:35" ht="15.75" customHeight="1" x14ac:dyDescent="0.15">
      <c r="A35" s="1" t="s">
        <v>37</v>
      </c>
      <c r="B35" s="2">
        <f ca="1">IFERROR(__xludf.DUMMYFUNCTION("TO_PERCENT(D35/C35)"),0.331611820733896)</f>
        <v>0.331611820733896</v>
      </c>
      <c r="C35" s="3">
        <v>20740675</v>
      </c>
      <c r="D35" s="4">
        <v>6877853</v>
      </c>
      <c r="E35" s="5">
        <f t="shared" si="15"/>
        <v>0.70488221820250163</v>
      </c>
      <c r="F35" s="4">
        <v>9757450</v>
      </c>
      <c r="G35" s="4">
        <v>1398513</v>
      </c>
      <c r="H35" s="5">
        <f t="shared" si="13"/>
        <v>0.14332771369568895</v>
      </c>
      <c r="I35" s="24" t="s">
        <v>9</v>
      </c>
      <c r="J35" s="8"/>
      <c r="K35" s="4">
        <v>384315</v>
      </c>
      <c r="L35" s="4">
        <f t="shared" si="7"/>
        <v>21124990</v>
      </c>
      <c r="M35" s="9">
        <f t="shared" si="8"/>
        <v>10983225</v>
      </c>
      <c r="N35" s="10">
        <v>0</v>
      </c>
      <c r="O35" s="10">
        <f t="shared" si="14"/>
        <v>10983225</v>
      </c>
      <c r="P35" s="11">
        <f t="shared" si="4"/>
        <v>0</v>
      </c>
      <c r="Q35" s="4">
        <v>1662570</v>
      </c>
      <c r="R35" s="4">
        <f t="shared" si="5"/>
        <v>22403245</v>
      </c>
    </row>
    <row r="36" spans="1:35" ht="15.75" customHeight="1" x14ac:dyDescent="0.15">
      <c r="A36" s="1" t="s">
        <v>38</v>
      </c>
      <c r="B36" s="2">
        <f ca="1">IFERROR(__xludf.DUMMYFUNCTION("TO_PERCENT(D36/C36)"),0.482966475409616)</f>
        <v>0.48296647540961601</v>
      </c>
      <c r="C36" s="3">
        <v>7853131</v>
      </c>
      <c r="D36" s="4">
        <v>3792799</v>
      </c>
      <c r="E36" s="5">
        <v>1.03</v>
      </c>
      <c r="F36" s="4">
        <v>3699470</v>
      </c>
      <c r="G36" s="4">
        <v>1572204</v>
      </c>
      <c r="H36" s="5">
        <f t="shared" si="13"/>
        <v>0.42498087563894288</v>
      </c>
      <c r="I36" s="24" t="s">
        <v>9</v>
      </c>
      <c r="J36" s="8"/>
      <c r="K36" s="4">
        <v>248950</v>
      </c>
      <c r="L36" s="4">
        <f t="shared" si="7"/>
        <v>8102081</v>
      </c>
      <c r="M36" s="9">
        <f t="shared" si="8"/>
        <v>4153661</v>
      </c>
      <c r="N36" s="10">
        <f t="shared" ref="N36:N37" si="16">(D36-F36)</f>
        <v>93329</v>
      </c>
      <c r="O36" s="10">
        <f t="shared" ref="O36:O37" si="17">(M36-N36)</f>
        <v>4060332</v>
      </c>
      <c r="P36" s="11">
        <f t="shared" si="4"/>
        <v>2.2469094131658793E-2</v>
      </c>
      <c r="Q36" s="4">
        <v>1000000</v>
      </c>
      <c r="R36" s="4">
        <f t="shared" si="5"/>
        <v>8853131</v>
      </c>
    </row>
    <row r="37" spans="1:35" ht="15.75" customHeight="1" x14ac:dyDescent="0.15">
      <c r="A37" s="1" t="s">
        <v>39</v>
      </c>
      <c r="B37" s="2">
        <f ca="1">IFERROR(__xludf.DUMMYFUNCTION("TO_PERCENT(D37/C37)"),0.520385328622497)</f>
        <v>0.52038532862249698</v>
      </c>
      <c r="C37" s="3">
        <v>41431856</v>
      </c>
      <c r="D37" s="4">
        <v>21560530</v>
      </c>
      <c r="E37" s="5">
        <v>1.1100000000000001</v>
      </c>
      <c r="F37" s="4">
        <v>19483647</v>
      </c>
      <c r="G37" s="4">
        <v>11836838</v>
      </c>
      <c r="H37" s="5">
        <f t="shared" si="13"/>
        <v>0.60752681466667924</v>
      </c>
      <c r="I37" s="24" t="s">
        <v>9</v>
      </c>
      <c r="J37" s="8"/>
      <c r="K37" s="4">
        <v>710336</v>
      </c>
      <c r="L37" s="4">
        <f t="shared" si="7"/>
        <v>42142192</v>
      </c>
      <c r="M37" s="9">
        <f t="shared" si="8"/>
        <v>21948209</v>
      </c>
      <c r="N37" s="10">
        <f t="shared" si="16"/>
        <v>2076883</v>
      </c>
      <c r="O37" s="10">
        <f t="shared" si="17"/>
        <v>19871326</v>
      </c>
      <c r="P37" s="11">
        <f t="shared" si="4"/>
        <v>9.4626536497807182E-2</v>
      </c>
      <c r="Q37" s="4">
        <v>3219900</v>
      </c>
      <c r="R37" s="4">
        <f t="shared" si="5"/>
        <v>44651756</v>
      </c>
    </row>
    <row r="38" spans="1:35" ht="15.75" customHeight="1" x14ac:dyDescent="0.15">
      <c r="A38" s="1" t="s">
        <v>40</v>
      </c>
      <c r="B38" s="2">
        <f ca="1">IFERROR(__xludf.DUMMYFUNCTION("TO_PERCENT(D38/C38)"),0.238826443341107)</f>
        <v>0.238826443341107</v>
      </c>
      <c r="C38" s="3">
        <v>22050678</v>
      </c>
      <c r="D38" s="4">
        <v>5266285</v>
      </c>
      <c r="E38" s="5">
        <v>0.51</v>
      </c>
      <c r="F38" s="4">
        <v>10373237</v>
      </c>
      <c r="G38" s="4">
        <v>5266285</v>
      </c>
      <c r="H38" s="5">
        <f t="shared" si="13"/>
        <v>0.50768000384065259</v>
      </c>
      <c r="I38" s="27" t="s">
        <v>26</v>
      </c>
      <c r="J38" s="8"/>
      <c r="K38" s="4">
        <v>419907</v>
      </c>
      <c r="L38" s="4">
        <f t="shared" si="7"/>
        <v>22470585</v>
      </c>
      <c r="M38" s="9">
        <f t="shared" si="8"/>
        <v>11677441</v>
      </c>
      <c r="N38" s="10">
        <v>0</v>
      </c>
      <c r="O38" s="10">
        <f t="shared" ref="O38:O39" si="18">(M38)</f>
        <v>11677441</v>
      </c>
      <c r="P38" s="11">
        <f t="shared" si="4"/>
        <v>0</v>
      </c>
      <c r="Q38" s="4">
        <v>1817084</v>
      </c>
      <c r="R38" s="4">
        <f t="shared" si="5"/>
        <v>23867762</v>
      </c>
    </row>
    <row r="39" spans="1:35" ht="15.75" customHeight="1" x14ac:dyDescent="0.15">
      <c r="A39" s="22" t="s">
        <v>41</v>
      </c>
      <c r="B39" s="2">
        <f ca="1">IFERROR(__xludf.DUMMYFUNCTION("TO_PERCENT(D39/C39)"),0.138762666666666)</f>
        <v>0.13876266666666601</v>
      </c>
      <c r="C39" s="3">
        <v>6000000</v>
      </c>
      <c r="D39" s="4">
        <v>832576</v>
      </c>
      <c r="E39" s="5">
        <v>0.28000000000000003</v>
      </c>
      <c r="F39" s="4">
        <v>3000000</v>
      </c>
      <c r="G39" s="6">
        <v>0</v>
      </c>
      <c r="H39" s="5">
        <v>0</v>
      </c>
      <c r="I39" s="7" t="s">
        <v>1</v>
      </c>
      <c r="J39" s="8"/>
      <c r="K39" s="4">
        <v>28439</v>
      </c>
      <c r="L39" s="4">
        <f t="shared" si="7"/>
        <v>6028439</v>
      </c>
      <c r="M39" s="9">
        <f t="shared" si="8"/>
        <v>3000000</v>
      </c>
      <c r="N39" s="10">
        <v>0</v>
      </c>
      <c r="O39" s="10">
        <f t="shared" si="18"/>
        <v>3000000</v>
      </c>
      <c r="P39" s="11">
        <f t="shared" si="4"/>
        <v>0</v>
      </c>
      <c r="Q39" s="4">
        <v>1000000</v>
      </c>
      <c r="R39" s="4">
        <f t="shared" si="5"/>
        <v>7000000</v>
      </c>
    </row>
    <row r="40" spans="1:35" ht="15.75" customHeight="1" x14ac:dyDescent="0.15">
      <c r="A40" s="13" t="s">
        <v>42</v>
      </c>
      <c r="B40" s="14">
        <f ca="1">IFERROR(__xludf.DUMMYFUNCTION("TO_PERCENT(D40/C40)"),0.84317)</f>
        <v>0.84316999999999998</v>
      </c>
      <c r="C40" s="25">
        <v>600000</v>
      </c>
      <c r="D40" s="16">
        <v>505902</v>
      </c>
      <c r="E40" s="28" t="s">
        <v>5</v>
      </c>
      <c r="F40" s="16">
        <v>0</v>
      </c>
      <c r="G40" s="16">
        <v>205137</v>
      </c>
      <c r="H40" s="29" t="s">
        <v>5</v>
      </c>
      <c r="I40" s="18" t="s">
        <v>5</v>
      </c>
      <c r="J40" s="8"/>
      <c r="K40" s="16">
        <v>0</v>
      </c>
      <c r="L40" s="16">
        <f t="shared" si="7"/>
        <v>600000</v>
      </c>
      <c r="M40" s="19">
        <f t="shared" si="8"/>
        <v>600000</v>
      </c>
      <c r="N40" s="20">
        <f t="shared" ref="N40:N41" si="19">(D40-F40)</f>
        <v>505902</v>
      </c>
      <c r="O40" s="20">
        <f t="shared" ref="O40:O41" si="20">(M40-N40)</f>
        <v>94098</v>
      </c>
      <c r="P40" s="21">
        <f t="shared" si="4"/>
        <v>0.84316999999999998</v>
      </c>
      <c r="Q40" s="16">
        <v>200000</v>
      </c>
      <c r="R40" s="16">
        <f t="shared" si="5"/>
        <v>800000</v>
      </c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</row>
    <row r="41" spans="1:35" ht="15.75" customHeight="1" x14ac:dyDescent="0.15">
      <c r="A41" s="1" t="s">
        <v>43</v>
      </c>
      <c r="B41" s="2">
        <f ca="1">IFERROR(__xludf.DUMMYFUNCTION("TO_PERCENT(D41/C41)"),0.741036107700531)</f>
        <v>0.74103610770053097</v>
      </c>
      <c r="C41" s="3">
        <v>25907133</v>
      </c>
      <c r="D41" s="4">
        <v>19198121</v>
      </c>
      <c r="E41" s="5">
        <v>1.58</v>
      </c>
      <c r="F41" s="4">
        <v>12186021</v>
      </c>
      <c r="G41" s="6">
        <v>15696584</v>
      </c>
      <c r="H41" s="5">
        <f t="shared" ref="H41:H58" si="21">(G41/F41)</f>
        <v>1.2880811546279134</v>
      </c>
      <c r="I41" s="7" t="s">
        <v>1</v>
      </c>
      <c r="J41" s="8"/>
      <c r="K41" s="4">
        <v>567934</v>
      </c>
      <c r="L41" s="4">
        <f t="shared" si="7"/>
        <v>26475067</v>
      </c>
      <c r="M41" s="9">
        <f t="shared" si="8"/>
        <v>13721112</v>
      </c>
      <c r="N41" s="10">
        <f t="shared" si="19"/>
        <v>7012100</v>
      </c>
      <c r="O41" s="10">
        <f t="shared" si="20"/>
        <v>6709012</v>
      </c>
      <c r="P41" s="11">
        <f t="shared" si="4"/>
        <v>0.51104458589070623</v>
      </c>
      <c r="Q41" s="4">
        <v>2003193</v>
      </c>
      <c r="R41" s="4">
        <f t="shared" si="5"/>
        <v>27910326</v>
      </c>
    </row>
    <row r="42" spans="1:35" ht="15.75" customHeight="1" x14ac:dyDescent="0.15">
      <c r="A42" s="1" t="s">
        <v>44</v>
      </c>
      <c r="B42" s="2">
        <f ca="1">IFERROR(__xludf.DUMMYFUNCTION("TO_PERCENT(D42/C42)"),0.165227531262359)</f>
        <v>0.16522753126235901</v>
      </c>
      <c r="C42" s="3">
        <v>11036835</v>
      </c>
      <c r="D42" s="4">
        <v>1823589</v>
      </c>
      <c r="E42" s="5">
        <v>0.35</v>
      </c>
      <c r="F42" s="4">
        <v>5196017</v>
      </c>
      <c r="G42" s="4">
        <v>1001673</v>
      </c>
      <c r="H42" s="5">
        <f t="shared" si="21"/>
        <v>0.19277708290792736</v>
      </c>
      <c r="I42" s="7" t="s">
        <v>1</v>
      </c>
      <c r="J42" s="8"/>
      <c r="K42" s="4">
        <v>467834</v>
      </c>
      <c r="L42" s="4">
        <f t="shared" si="7"/>
        <v>11504669</v>
      </c>
      <c r="M42" s="9">
        <f t="shared" si="8"/>
        <v>5840818</v>
      </c>
      <c r="N42" s="10">
        <v>0</v>
      </c>
      <c r="O42" s="10">
        <f>(M42)</f>
        <v>5840818</v>
      </c>
      <c r="P42" s="11">
        <f t="shared" si="4"/>
        <v>0</v>
      </c>
      <c r="Q42" s="4">
        <v>1000000</v>
      </c>
      <c r="R42" s="4">
        <f t="shared" si="5"/>
        <v>12036835</v>
      </c>
    </row>
    <row r="43" spans="1:35" ht="15.75" customHeight="1" x14ac:dyDescent="0.15">
      <c r="A43" s="22" t="s">
        <v>45</v>
      </c>
      <c r="B43" s="2">
        <f ca="1">IFERROR(__xludf.DUMMYFUNCTION("TO_PERCENT(D43/C43)"),0.594170362452553)</f>
        <v>0.59417036245255295</v>
      </c>
      <c r="C43" s="3">
        <v>11392029</v>
      </c>
      <c r="D43" s="4">
        <v>6768806</v>
      </c>
      <c r="E43" s="5">
        <f>(D43/F43)</f>
        <v>1.2621349954437653</v>
      </c>
      <c r="F43" s="4">
        <v>5362981</v>
      </c>
      <c r="G43" s="4">
        <v>1571741</v>
      </c>
      <c r="H43" s="5">
        <f t="shared" si="21"/>
        <v>0.29307226708429512</v>
      </c>
      <c r="I43" s="24" t="s">
        <v>9</v>
      </c>
      <c r="J43" s="8"/>
      <c r="K43" s="4">
        <v>410601</v>
      </c>
      <c r="L43" s="4">
        <f t="shared" si="7"/>
        <v>11802630</v>
      </c>
      <c r="M43" s="9">
        <f t="shared" si="8"/>
        <v>6029048</v>
      </c>
      <c r="N43" s="10">
        <v>0</v>
      </c>
      <c r="O43" s="10">
        <f t="shared" ref="O43:O44" si="22">(M43-N43)</f>
        <v>6029048</v>
      </c>
      <c r="P43" s="11">
        <f t="shared" si="4"/>
        <v>0</v>
      </c>
      <c r="Q43" s="4">
        <v>1000000</v>
      </c>
      <c r="R43" s="4">
        <f t="shared" si="5"/>
        <v>12392029</v>
      </c>
    </row>
    <row r="44" spans="1:35" ht="15.75" customHeight="1" x14ac:dyDescent="0.15">
      <c r="A44" s="1" t="s">
        <v>46</v>
      </c>
      <c r="B44" s="2">
        <f ca="1">IFERROR(__xludf.DUMMYFUNCTION("TO_PERCENT(D44/C44)"),0.734232108833385)</f>
        <v>0.73423210883338497</v>
      </c>
      <c r="C44" s="3">
        <v>28651723</v>
      </c>
      <c r="D44" s="4">
        <v>21037015</v>
      </c>
      <c r="E44" s="5">
        <v>1.56</v>
      </c>
      <c r="F44" s="4">
        <v>13476156</v>
      </c>
      <c r="G44" s="4">
        <v>25701621</v>
      </c>
      <c r="H44" s="5">
        <f t="shared" si="21"/>
        <v>1.9071923032057509</v>
      </c>
      <c r="I44" s="27" t="s">
        <v>26</v>
      </c>
      <c r="J44" s="8"/>
      <c r="K44" s="4">
        <v>504760</v>
      </c>
      <c r="L44" s="4">
        <f t="shared" si="7"/>
        <v>29156483</v>
      </c>
      <c r="M44" s="9">
        <f t="shared" si="8"/>
        <v>15175567</v>
      </c>
      <c r="N44" s="10">
        <f>(D44-F44)</f>
        <v>7560859</v>
      </c>
      <c r="O44" s="10">
        <f t="shared" si="22"/>
        <v>7614708</v>
      </c>
      <c r="P44" s="11">
        <f t="shared" si="4"/>
        <v>0.49822579940505685</v>
      </c>
      <c r="Q44" s="4">
        <v>2205840</v>
      </c>
      <c r="R44" s="4">
        <f t="shared" si="5"/>
        <v>30857563</v>
      </c>
    </row>
    <row r="45" spans="1:35" ht="15.75" customHeight="1" x14ac:dyDescent="0.15">
      <c r="A45" s="13" t="s">
        <v>47</v>
      </c>
      <c r="B45" s="14">
        <f ca="1">IFERROR(__xludf.DUMMYFUNCTION("TO_PERCENT(D45/C45)"),0.120671004391185)</f>
        <v>0.120671004391185</v>
      </c>
      <c r="C45" s="25">
        <v>7818846</v>
      </c>
      <c r="D45" s="16">
        <v>943508</v>
      </c>
      <c r="E45" s="17">
        <v>0.26</v>
      </c>
      <c r="F45" s="16">
        <v>3676962</v>
      </c>
      <c r="G45" s="16">
        <v>815165</v>
      </c>
      <c r="H45" s="17">
        <f t="shared" si="21"/>
        <v>0.22169524732646134</v>
      </c>
      <c r="I45" s="18" t="s">
        <v>5</v>
      </c>
      <c r="J45" s="8"/>
      <c r="K45" s="16">
        <v>0</v>
      </c>
      <c r="L45" s="16">
        <f t="shared" si="7"/>
        <v>7818846</v>
      </c>
      <c r="M45" s="19">
        <f t="shared" si="8"/>
        <v>4141884</v>
      </c>
      <c r="N45" s="20">
        <v>0</v>
      </c>
      <c r="O45" s="20">
        <f t="shared" ref="O45:O46" si="23">(M45)</f>
        <v>4141884</v>
      </c>
      <c r="P45" s="21">
        <f t="shared" si="4"/>
        <v>0</v>
      </c>
      <c r="Q45" s="16">
        <v>556850</v>
      </c>
      <c r="R45" s="16">
        <f t="shared" si="5"/>
        <v>8375696</v>
      </c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</row>
    <row r="46" spans="1:35" ht="15.75" customHeight="1" x14ac:dyDescent="0.15">
      <c r="A46" s="1" t="s">
        <v>48</v>
      </c>
      <c r="B46" s="2">
        <f ca="1">IFERROR(__xludf.DUMMYFUNCTION("TO_PERCENT(D46/C46)"),0.482557615770457)</f>
        <v>0.48255761577045703</v>
      </c>
      <c r="C46" s="3">
        <v>6216180</v>
      </c>
      <c r="D46" s="4">
        <v>2999665</v>
      </c>
      <c r="E46" s="5">
        <v>1</v>
      </c>
      <c r="F46" s="4">
        <v>3000000</v>
      </c>
      <c r="G46" s="4">
        <v>2807362</v>
      </c>
      <c r="H46" s="5">
        <f t="shared" si="21"/>
        <v>0.9357873333333333</v>
      </c>
      <c r="I46" s="24" t="s">
        <v>9</v>
      </c>
      <c r="J46" s="8"/>
      <c r="K46" s="4">
        <v>87166</v>
      </c>
      <c r="L46" s="4">
        <f t="shared" si="7"/>
        <v>6303346</v>
      </c>
      <c r="M46" s="9">
        <f t="shared" si="8"/>
        <v>3216180</v>
      </c>
      <c r="N46" s="10">
        <v>0</v>
      </c>
      <c r="O46" s="10">
        <f t="shared" si="23"/>
        <v>3216180</v>
      </c>
      <c r="P46" s="11">
        <f t="shared" si="4"/>
        <v>0</v>
      </c>
      <c r="Q46" s="4">
        <v>1000000</v>
      </c>
      <c r="R46" s="4">
        <f t="shared" si="5"/>
        <v>7216180</v>
      </c>
    </row>
    <row r="47" spans="1:35" ht="15.75" customHeight="1" x14ac:dyDescent="0.15">
      <c r="A47" s="1" t="s">
        <v>49</v>
      </c>
      <c r="B47" s="2">
        <f ca="1">IFERROR(__xludf.DUMMYFUNCTION("TO_PERCENT(D47/C47)"),0.581583740358119)</f>
        <v>0.58158374035811899</v>
      </c>
      <c r="C47" s="3">
        <v>12833985</v>
      </c>
      <c r="D47" s="4">
        <v>7464037</v>
      </c>
      <c r="E47" s="5">
        <v>1.24</v>
      </c>
      <c r="F47" s="4">
        <v>6040794</v>
      </c>
      <c r="G47" s="4">
        <v>3558045</v>
      </c>
      <c r="H47" s="5">
        <f t="shared" si="21"/>
        <v>0.5890028694903352</v>
      </c>
      <c r="I47" s="7" t="s">
        <v>1</v>
      </c>
      <c r="J47" s="8"/>
      <c r="K47" s="4">
        <v>412885</v>
      </c>
      <c r="L47" s="4">
        <f t="shared" si="7"/>
        <v>13246870</v>
      </c>
      <c r="M47" s="9">
        <f t="shared" si="8"/>
        <v>6793191</v>
      </c>
      <c r="N47" s="10">
        <f>(D47-F47)</f>
        <v>1423243</v>
      </c>
      <c r="O47" s="10">
        <f>(M47-N47)</f>
        <v>5369948</v>
      </c>
      <c r="P47" s="11">
        <f t="shared" si="4"/>
        <v>0.20951022869811844</v>
      </c>
      <c r="Q47" s="4">
        <v>1084886</v>
      </c>
      <c r="R47" s="4">
        <f t="shared" si="5"/>
        <v>13918871</v>
      </c>
    </row>
    <row r="48" spans="1:35" ht="15.75" customHeight="1" x14ac:dyDescent="0.15">
      <c r="A48" s="1" t="s">
        <v>50</v>
      </c>
      <c r="B48" s="2">
        <f ca="1">IFERROR(__xludf.DUMMYFUNCTION("TO_PERCENT(D48/C48)"),0.491677)</f>
        <v>0.49167699999999998</v>
      </c>
      <c r="C48" s="3">
        <v>6000000</v>
      </c>
      <c r="D48" s="4">
        <v>2950062</v>
      </c>
      <c r="E48" s="5">
        <v>0.98</v>
      </c>
      <c r="F48" s="4">
        <v>3000000</v>
      </c>
      <c r="G48" s="4">
        <v>2949445</v>
      </c>
      <c r="H48" s="5">
        <f t="shared" si="21"/>
        <v>0.98314833333333329</v>
      </c>
      <c r="I48" s="7" t="s">
        <v>1</v>
      </c>
      <c r="J48" s="8"/>
      <c r="K48" s="4">
        <v>186123</v>
      </c>
      <c r="L48" s="4">
        <f t="shared" si="7"/>
        <v>6186123</v>
      </c>
      <c r="M48" s="9">
        <f t="shared" si="8"/>
        <v>3000000</v>
      </c>
      <c r="N48" s="10">
        <v>0</v>
      </c>
      <c r="O48" s="10">
        <f t="shared" ref="O48:O49" si="24">(M48)</f>
        <v>3000000</v>
      </c>
      <c r="P48" s="11">
        <f t="shared" si="4"/>
        <v>0</v>
      </c>
      <c r="Q48" s="4">
        <v>1000000</v>
      </c>
      <c r="R48" s="4">
        <f t="shared" si="5"/>
        <v>7000000</v>
      </c>
    </row>
    <row r="49" spans="1:35" ht="15.75" customHeight="1" x14ac:dyDescent="0.15">
      <c r="A49" s="1" t="s">
        <v>51</v>
      </c>
      <c r="B49" s="2">
        <f ca="1">IFERROR(__xludf.DUMMYFUNCTION("TO_PERCENT(D49/C49)"),0.334908130148759)</f>
        <v>0.33490813014875898</v>
      </c>
      <c r="C49" s="3">
        <v>16077418</v>
      </c>
      <c r="D49" s="4">
        <v>5384458</v>
      </c>
      <c r="E49" s="5">
        <v>0.71</v>
      </c>
      <c r="F49" s="4">
        <v>7565418</v>
      </c>
      <c r="G49" s="6">
        <v>4221627</v>
      </c>
      <c r="H49" s="5">
        <f t="shared" si="21"/>
        <v>0.55801635811795203</v>
      </c>
      <c r="I49" s="7" t="s">
        <v>1</v>
      </c>
      <c r="J49" s="8"/>
      <c r="K49" s="4">
        <v>299351</v>
      </c>
      <c r="L49" s="4">
        <f t="shared" si="7"/>
        <v>16376769</v>
      </c>
      <c r="M49" s="9">
        <f t="shared" si="8"/>
        <v>8512000</v>
      </c>
      <c r="N49" s="10">
        <v>0</v>
      </c>
      <c r="O49" s="10">
        <f t="shared" si="24"/>
        <v>8512000</v>
      </c>
      <c r="P49" s="11">
        <f t="shared" si="4"/>
        <v>0</v>
      </c>
      <c r="Q49" s="4">
        <v>1327148</v>
      </c>
      <c r="R49" s="4">
        <f t="shared" si="5"/>
        <v>17404566</v>
      </c>
    </row>
    <row r="50" spans="1:35" ht="15.75" customHeight="1" x14ac:dyDescent="0.15">
      <c r="A50" s="1" t="s">
        <v>52</v>
      </c>
      <c r="B50" s="2">
        <f ca="1">IFERROR(__xludf.DUMMYFUNCTION("TO_PERCENT(D50/C50)"),0.706797702971823)</f>
        <v>0.70679770297182298</v>
      </c>
      <c r="C50" s="3">
        <v>49449807</v>
      </c>
      <c r="D50" s="4">
        <v>34951010</v>
      </c>
      <c r="E50" s="5">
        <v>1.5</v>
      </c>
      <c r="F50" s="4">
        <v>23252604</v>
      </c>
      <c r="G50" s="4">
        <v>20745707</v>
      </c>
      <c r="H50" s="5">
        <f t="shared" si="21"/>
        <v>0.89218854800090341</v>
      </c>
      <c r="I50" s="7" t="s">
        <v>1</v>
      </c>
      <c r="J50" s="8"/>
      <c r="K50" s="4">
        <v>1208118</v>
      </c>
      <c r="L50" s="4">
        <f t="shared" si="7"/>
        <v>50657925</v>
      </c>
      <c r="M50" s="9">
        <f t="shared" si="8"/>
        <v>26197203</v>
      </c>
      <c r="N50" s="10">
        <f t="shared" ref="N50:N51" si="25">(D50-F50)</f>
        <v>11698406</v>
      </c>
      <c r="O50" s="10">
        <f t="shared" ref="O50:O51" si="26">(M50-N50)</f>
        <v>14498797</v>
      </c>
      <c r="P50" s="11">
        <f t="shared" si="4"/>
        <v>0.44655171775399077</v>
      </c>
      <c r="Q50" s="4">
        <v>4241736</v>
      </c>
      <c r="R50" s="4">
        <f t="shared" si="5"/>
        <v>53691543</v>
      </c>
    </row>
    <row r="51" spans="1:35" ht="15.75" customHeight="1" x14ac:dyDescent="0.15">
      <c r="A51" s="13" t="s">
        <v>53</v>
      </c>
      <c r="B51" s="14">
        <f ca="1">IFERROR(__xludf.DUMMYFUNCTION("TO_PERCENT(D51/C51)"),0.8565125)</f>
        <v>0.85651250000000001</v>
      </c>
      <c r="C51" s="25">
        <v>1200000</v>
      </c>
      <c r="D51" s="16">
        <v>1027815</v>
      </c>
      <c r="E51" s="17">
        <v>1.71</v>
      </c>
      <c r="F51" s="16">
        <v>600000</v>
      </c>
      <c r="G51" s="16">
        <v>721709</v>
      </c>
      <c r="H51" s="17">
        <f t="shared" si="21"/>
        <v>1.2028483333333333</v>
      </c>
      <c r="I51" s="18" t="s">
        <v>5</v>
      </c>
      <c r="J51" s="8"/>
      <c r="K51" s="16">
        <v>7707</v>
      </c>
      <c r="L51" s="16">
        <f t="shared" si="7"/>
        <v>1207707</v>
      </c>
      <c r="M51" s="19">
        <f t="shared" si="8"/>
        <v>600000</v>
      </c>
      <c r="N51" s="20">
        <f t="shared" si="25"/>
        <v>427815</v>
      </c>
      <c r="O51" s="20">
        <f t="shared" si="26"/>
        <v>172185</v>
      </c>
      <c r="P51" s="21">
        <f t="shared" si="4"/>
        <v>0.71302500000000002</v>
      </c>
      <c r="Q51" s="16">
        <v>200000</v>
      </c>
      <c r="R51" s="16">
        <f t="shared" si="5"/>
        <v>1400000</v>
      </c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</row>
    <row r="52" spans="1:35" ht="15.75" customHeight="1" x14ac:dyDescent="0.15">
      <c r="A52" s="22" t="s">
        <v>54</v>
      </c>
      <c r="B52" s="2">
        <f ca="1">IFERROR(__xludf.DUMMYFUNCTION("TO_PERCENT(D52/C52)"),0.284402849667061)</f>
        <v>0.28440284966706098</v>
      </c>
      <c r="C52" s="3">
        <v>8714983</v>
      </c>
      <c r="D52" s="4">
        <v>2478566</v>
      </c>
      <c r="E52" s="5">
        <v>0.6</v>
      </c>
      <c r="F52" s="4">
        <v>4111052</v>
      </c>
      <c r="G52" s="4">
        <v>1305161</v>
      </c>
      <c r="H52" s="5">
        <f t="shared" si="21"/>
        <v>0.31747615938694035</v>
      </c>
      <c r="I52" s="7" t="s">
        <v>1</v>
      </c>
      <c r="J52" s="8"/>
      <c r="K52" s="4">
        <v>195947</v>
      </c>
      <c r="L52" s="4">
        <f t="shared" si="7"/>
        <v>8910930</v>
      </c>
      <c r="M52" s="9">
        <f t="shared" si="8"/>
        <v>4603931</v>
      </c>
      <c r="N52" s="10">
        <v>0</v>
      </c>
      <c r="O52" s="10">
        <f t="shared" ref="O52:O54" si="27">(M52)</f>
        <v>4603931</v>
      </c>
      <c r="P52" s="11">
        <f t="shared" si="4"/>
        <v>0</v>
      </c>
      <c r="Q52" s="4">
        <v>1000000</v>
      </c>
      <c r="R52" s="4">
        <f t="shared" si="5"/>
        <v>9714983</v>
      </c>
    </row>
    <row r="53" spans="1:35" ht="15.75" customHeight="1" x14ac:dyDescent="0.15">
      <c r="A53" s="1" t="s">
        <v>55</v>
      </c>
      <c r="B53" s="2">
        <f ca="1">IFERROR(__xludf.DUMMYFUNCTION("TO_PERCENT(D53/C53)"),0.2917135)</f>
        <v>0.29171350000000001</v>
      </c>
      <c r="C53" s="3">
        <v>6000000</v>
      </c>
      <c r="D53" s="4">
        <v>1750281</v>
      </c>
      <c r="E53" s="5">
        <v>0.57999999999999996</v>
      </c>
      <c r="F53" s="4">
        <v>3000000</v>
      </c>
      <c r="G53" s="4">
        <v>1391104</v>
      </c>
      <c r="H53" s="5">
        <f t="shared" si="21"/>
        <v>0.46370133333333335</v>
      </c>
      <c r="I53" s="24" t="s">
        <v>9</v>
      </c>
      <c r="J53" s="8"/>
      <c r="K53" s="4">
        <v>100314</v>
      </c>
      <c r="L53" s="4">
        <f t="shared" si="7"/>
        <v>6100314</v>
      </c>
      <c r="M53" s="9">
        <f t="shared" si="8"/>
        <v>3000000</v>
      </c>
      <c r="N53" s="10">
        <v>0</v>
      </c>
      <c r="O53" s="10">
        <f t="shared" si="27"/>
        <v>3000000</v>
      </c>
      <c r="P53" s="11">
        <f t="shared" si="4"/>
        <v>0</v>
      </c>
      <c r="Q53" s="4">
        <v>1000000</v>
      </c>
      <c r="R53" s="4">
        <f t="shared" si="5"/>
        <v>7000000</v>
      </c>
    </row>
    <row r="54" spans="1:35" ht="15.75" customHeight="1" x14ac:dyDescent="0.15">
      <c r="A54" s="1" t="s">
        <v>56</v>
      </c>
      <c r="B54" s="2">
        <f ca="1">IFERROR(__xludf.DUMMYFUNCTION("TO_PERCENT(D54/C54)"),0.447418129299119)</f>
        <v>0.44741812929911901</v>
      </c>
      <c r="C54" s="3">
        <v>19301044</v>
      </c>
      <c r="D54" s="4">
        <v>8635637</v>
      </c>
      <c r="E54" s="5">
        <v>0.95</v>
      </c>
      <c r="F54" s="4">
        <v>9080731</v>
      </c>
      <c r="G54" s="4">
        <v>4727727</v>
      </c>
      <c r="H54" s="5">
        <f t="shared" si="21"/>
        <v>0.52063286534971687</v>
      </c>
      <c r="I54" s="27" t="s">
        <v>26</v>
      </c>
      <c r="J54" s="8"/>
      <c r="K54" s="4">
        <v>704554</v>
      </c>
      <c r="L54" s="4">
        <f t="shared" si="7"/>
        <v>20005598</v>
      </c>
      <c r="M54" s="9">
        <f t="shared" si="8"/>
        <v>10220313</v>
      </c>
      <c r="N54" s="10">
        <v>0</v>
      </c>
      <c r="O54" s="10">
        <f t="shared" si="27"/>
        <v>10220313</v>
      </c>
      <c r="P54" s="11">
        <f t="shared" si="4"/>
        <v>0</v>
      </c>
      <c r="Q54" s="4">
        <v>1567743</v>
      </c>
      <c r="R54" s="4">
        <f t="shared" si="5"/>
        <v>20868787</v>
      </c>
    </row>
    <row r="55" spans="1:35" ht="13" x14ac:dyDescent="0.15">
      <c r="A55" s="1" t="s">
        <v>57</v>
      </c>
      <c r="B55" s="2">
        <f ca="1">IFERROR(__xludf.DUMMYFUNCTION("TO_PERCENT(D55/C55)"),0.822895748073439)</f>
        <v>0.82289574807343902</v>
      </c>
      <c r="C55" s="3">
        <v>16805723</v>
      </c>
      <c r="D55" s="4">
        <v>13829358</v>
      </c>
      <c r="E55" s="5">
        <f t="shared" ref="E55:E56" si="28">(D55/F55)</f>
        <v>1.7488320345260508</v>
      </c>
      <c r="F55" s="4">
        <v>7907768</v>
      </c>
      <c r="G55" s="6">
        <v>5818635</v>
      </c>
      <c r="H55" s="5">
        <f t="shared" si="21"/>
        <v>0.73581255798096257</v>
      </c>
      <c r="I55" s="24" t="s">
        <v>9</v>
      </c>
      <c r="J55" s="8"/>
      <c r="K55" s="4">
        <v>457434</v>
      </c>
      <c r="L55" s="4">
        <f t="shared" si="7"/>
        <v>17263157</v>
      </c>
      <c r="M55" s="9">
        <f t="shared" si="8"/>
        <v>8897955</v>
      </c>
      <c r="N55" s="10">
        <f t="shared" ref="N55:N58" si="29">(D55-F55)</f>
        <v>5921590</v>
      </c>
      <c r="O55" s="10">
        <f t="shared" ref="O55:O58" si="30">(M55-N55)</f>
        <v>2976365</v>
      </c>
      <c r="P55" s="11">
        <f t="shared" si="4"/>
        <v>0.6655001064851418</v>
      </c>
      <c r="Q55" s="4">
        <v>1440359</v>
      </c>
      <c r="R55" s="4">
        <f t="shared" si="5"/>
        <v>18246082</v>
      </c>
    </row>
    <row r="56" spans="1:35" ht="13" x14ac:dyDescent="0.15">
      <c r="A56" s="1" t="s">
        <v>58</v>
      </c>
      <c r="B56" s="2">
        <f ca="1">IFERROR(__xludf.DUMMYFUNCTION("TO_PERCENT(D56/C56)"),0.939783850902512)</f>
        <v>0.93978385090251204</v>
      </c>
      <c r="C56" s="3">
        <v>7666930</v>
      </c>
      <c r="D56" s="4">
        <v>7205257</v>
      </c>
      <c r="E56" s="5">
        <f t="shared" si="28"/>
        <v>1.9948423881550734</v>
      </c>
      <c r="F56" s="4">
        <v>3611943</v>
      </c>
      <c r="G56" s="4">
        <v>3723458</v>
      </c>
      <c r="H56" s="5">
        <f t="shared" si="21"/>
        <v>1.0308739645116216</v>
      </c>
      <c r="I56" s="7" t="s">
        <v>1</v>
      </c>
      <c r="J56" s="8"/>
      <c r="K56" s="4">
        <v>50678</v>
      </c>
      <c r="L56" s="4">
        <f t="shared" si="7"/>
        <v>7717608</v>
      </c>
      <c r="M56" s="9">
        <f t="shared" si="8"/>
        <v>4054987</v>
      </c>
      <c r="N56" s="10">
        <f t="shared" si="29"/>
        <v>3593314</v>
      </c>
      <c r="O56" s="10">
        <f t="shared" si="30"/>
        <v>461673</v>
      </c>
      <c r="P56" s="11">
        <f t="shared" si="4"/>
        <v>0.88614686064344961</v>
      </c>
      <c r="Q56" s="4">
        <v>1000000</v>
      </c>
      <c r="R56" s="4">
        <f t="shared" si="5"/>
        <v>8666930</v>
      </c>
    </row>
    <row r="57" spans="1:35" ht="13" x14ac:dyDescent="0.15">
      <c r="A57" s="1" t="s">
        <v>59</v>
      </c>
      <c r="B57" s="2">
        <f ca="1">IFERROR(__xludf.DUMMYFUNCTION("TO_PERCENT(D57/C57)"),0.590906718318755)</f>
        <v>0.59090671831875496</v>
      </c>
      <c r="C57" s="3">
        <v>14828442</v>
      </c>
      <c r="D57" s="4">
        <v>8762226</v>
      </c>
      <c r="E57" s="5">
        <v>1.26</v>
      </c>
      <c r="F57" s="4">
        <v>6978318</v>
      </c>
      <c r="G57" s="4">
        <v>7101301</v>
      </c>
      <c r="H57" s="5">
        <f t="shared" si="21"/>
        <v>1.0176235878043964</v>
      </c>
      <c r="I57" s="27" t="s">
        <v>26</v>
      </c>
      <c r="J57" s="8"/>
      <c r="K57" s="4">
        <v>284742</v>
      </c>
      <c r="L57" s="4">
        <f t="shared" si="7"/>
        <v>15113184</v>
      </c>
      <c r="M57" s="9">
        <f t="shared" si="8"/>
        <v>7850124</v>
      </c>
      <c r="N57" s="10">
        <f t="shared" si="29"/>
        <v>1783908</v>
      </c>
      <c r="O57" s="10">
        <f t="shared" si="30"/>
        <v>6066216</v>
      </c>
      <c r="P57" s="11">
        <f t="shared" si="4"/>
        <v>0.22724583713582103</v>
      </c>
      <c r="Q57" s="4">
        <v>1190603</v>
      </c>
      <c r="R57" s="4">
        <f t="shared" si="5"/>
        <v>16019045</v>
      </c>
    </row>
    <row r="58" spans="1:35" ht="13" x14ac:dyDescent="0.15">
      <c r="A58" s="1" t="s">
        <v>60</v>
      </c>
      <c r="B58" s="2">
        <f ca="1">IFERROR(__xludf.DUMMYFUNCTION("TO_PERCENT(D58/C58)"),0.596849833333333)</f>
        <v>0.59684983333333297</v>
      </c>
      <c r="C58" s="3">
        <v>6000000</v>
      </c>
      <c r="D58" s="4">
        <v>3581099</v>
      </c>
      <c r="E58" s="5">
        <v>1.19</v>
      </c>
      <c r="F58" s="4">
        <v>3000000</v>
      </c>
      <c r="G58" s="4">
        <v>2721962</v>
      </c>
      <c r="H58" s="5">
        <f t="shared" si="21"/>
        <v>0.90732066666666666</v>
      </c>
      <c r="I58" s="7" t="s">
        <v>1</v>
      </c>
      <c r="J58" s="8"/>
      <c r="K58" s="4">
        <v>275812</v>
      </c>
      <c r="L58" s="4">
        <f t="shared" si="7"/>
        <v>6275812</v>
      </c>
      <c r="M58" s="9">
        <f t="shared" si="8"/>
        <v>3000000</v>
      </c>
      <c r="N58" s="10">
        <f t="shared" si="29"/>
        <v>581099</v>
      </c>
      <c r="O58" s="10">
        <f t="shared" si="30"/>
        <v>2418901</v>
      </c>
      <c r="P58" s="11">
        <f t="shared" si="4"/>
        <v>0.19369966666666666</v>
      </c>
      <c r="Q58" s="4">
        <v>1000000</v>
      </c>
      <c r="R58" s="4">
        <f t="shared" si="5"/>
        <v>7000000</v>
      </c>
    </row>
    <row r="59" spans="1:35" s="100" customFormat="1" ht="319" x14ac:dyDescent="0.15">
      <c r="A59" s="94" t="s">
        <v>74</v>
      </c>
      <c r="B59" s="97" t="s">
        <v>101</v>
      </c>
      <c r="C59" s="98" t="s">
        <v>75</v>
      </c>
      <c r="D59" s="98" t="s">
        <v>102</v>
      </c>
      <c r="E59" s="98" t="s">
        <v>103</v>
      </c>
      <c r="F59" s="99" t="s">
        <v>76</v>
      </c>
      <c r="G59" s="98" t="s">
        <v>77</v>
      </c>
      <c r="H59" s="98" t="s">
        <v>78</v>
      </c>
      <c r="I59" s="98" t="s">
        <v>79</v>
      </c>
      <c r="J59" s="95"/>
      <c r="K59" s="95" t="s">
        <v>102</v>
      </c>
      <c r="L59" s="95"/>
      <c r="M59" s="95" t="s">
        <v>104</v>
      </c>
      <c r="N59" s="96"/>
      <c r="O59" s="96"/>
      <c r="P59" s="96"/>
      <c r="Q59" s="95" t="s">
        <v>104</v>
      </c>
      <c r="R59" s="95" t="s">
        <v>104</v>
      </c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</row>
    <row r="60" spans="1:35" ht="15.75" customHeight="1" x14ac:dyDescent="0.15">
      <c r="L60" s="4">
        <f>'[1]Spending Statistics'!$B$61</f>
        <v>0</v>
      </c>
    </row>
    <row r="61" spans="1:35" ht="15.75" customHeight="1" x14ac:dyDescent="0.15">
      <c r="A61" s="118" t="s">
        <v>108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I86"/>
  <sheetViews>
    <sheetView tabSelected="1" topLeftCell="A55" zoomScale="89" zoomScaleNormal="200" workbookViewId="0">
      <selection activeCell="C93" sqref="C93"/>
    </sheetView>
  </sheetViews>
  <sheetFormatPr baseColWidth="10" defaultColWidth="11.1640625" defaultRowHeight="15.75" customHeight="1" x14ac:dyDescent="0.15"/>
  <cols>
    <col min="1" max="1" width="23.5" customWidth="1"/>
    <col min="2" max="2" width="11.33203125" customWidth="1"/>
    <col min="3" max="3" width="18.5" customWidth="1"/>
    <col min="4" max="4" width="24.83203125" customWidth="1"/>
    <col min="5" max="5" width="22.6640625" customWidth="1"/>
    <col min="6" max="6" width="21.5" customWidth="1"/>
    <col min="7" max="7" width="16.1640625" customWidth="1"/>
    <col min="8" max="8" width="14.6640625" customWidth="1"/>
    <col min="9" max="9" width="13.1640625" customWidth="1"/>
    <col min="11" max="11" width="15.5" customWidth="1"/>
    <col min="12" max="12" width="18.5" customWidth="1"/>
    <col min="13" max="13" width="20" customWidth="1"/>
    <col min="14" max="14" width="18.83203125" customWidth="1"/>
    <col min="15" max="15" width="21.5" customWidth="1"/>
    <col min="17" max="17" width="15.5" customWidth="1"/>
    <col min="18" max="18" width="13.83203125" customWidth="1"/>
  </cols>
  <sheetData>
    <row r="1" spans="1:35" s="89" customFormat="1" ht="91" customHeight="1" x14ac:dyDescent="0.15">
      <c r="A1" s="90" t="s">
        <v>62</v>
      </c>
      <c r="B1" s="91" t="s">
        <v>80</v>
      </c>
      <c r="C1" s="91" t="s">
        <v>81</v>
      </c>
      <c r="D1" s="91" t="s">
        <v>82</v>
      </c>
      <c r="E1" s="91" t="s">
        <v>83</v>
      </c>
      <c r="F1" s="91" t="s">
        <v>84</v>
      </c>
      <c r="G1" s="91" t="s">
        <v>85</v>
      </c>
      <c r="H1" s="91" t="s">
        <v>86</v>
      </c>
      <c r="I1" s="91" t="s">
        <v>87</v>
      </c>
      <c r="J1" s="92"/>
      <c r="K1" s="91" t="s">
        <v>66</v>
      </c>
      <c r="L1" s="91" t="s">
        <v>88</v>
      </c>
      <c r="M1" s="91" t="s">
        <v>68</v>
      </c>
      <c r="N1" s="91" t="s">
        <v>69</v>
      </c>
      <c r="O1" s="93" t="s">
        <v>89</v>
      </c>
      <c r="P1" s="91" t="s">
        <v>71</v>
      </c>
      <c r="Q1" s="91" t="s">
        <v>90</v>
      </c>
      <c r="R1" s="91" t="s">
        <v>73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1:35" ht="15.75" customHeight="1" x14ac:dyDescent="0.15">
      <c r="A2" s="30" t="s">
        <v>63</v>
      </c>
      <c r="B2" s="31">
        <v>0.53</v>
      </c>
      <c r="C2" s="32">
        <v>804992336</v>
      </c>
      <c r="D2" s="32">
        <v>424797167</v>
      </c>
      <c r="E2" s="31">
        <v>1.1200000000000001</v>
      </c>
      <c r="F2" s="32">
        <v>380000000</v>
      </c>
      <c r="G2" s="32">
        <v>255252660</v>
      </c>
      <c r="H2" s="30"/>
      <c r="I2" s="30"/>
      <c r="J2" s="33"/>
      <c r="K2" s="32">
        <v>16164696</v>
      </c>
      <c r="L2" s="32">
        <v>1877607047</v>
      </c>
      <c r="M2" s="34">
        <v>425240245</v>
      </c>
      <c r="N2" s="34">
        <v>100928807</v>
      </c>
      <c r="O2" s="34">
        <v>324311438</v>
      </c>
      <c r="P2" s="31">
        <v>0.24</v>
      </c>
      <c r="Q2" s="32">
        <v>75000000</v>
      </c>
      <c r="R2" s="32">
        <v>879992336</v>
      </c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</row>
    <row r="3" spans="1:35" ht="15.75" customHeight="1" x14ac:dyDescent="0.15">
      <c r="A3" s="35" t="s">
        <v>12</v>
      </c>
      <c r="B3" s="36">
        <v>0.97</v>
      </c>
      <c r="C3" s="37">
        <v>6036503</v>
      </c>
      <c r="D3" s="37">
        <v>5877314</v>
      </c>
      <c r="E3" s="38">
        <v>1.94</v>
      </c>
      <c r="F3" s="37">
        <v>3000000</v>
      </c>
      <c r="G3" s="37">
        <v>5963519</v>
      </c>
      <c r="H3" s="38">
        <v>1.99</v>
      </c>
      <c r="I3" s="39" t="s">
        <v>9</v>
      </c>
      <c r="J3" s="40"/>
      <c r="K3" s="37">
        <v>19742</v>
      </c>
      <c r="L3" s="37">
        <v>20897082</v>
      </c>
      <c r="M3" s="41">
        <v>3036503</v>
      </c>
      <c r="N3" s="41">
        <v>2877314</v>
      </c>
      <c r="O3" s="41">
        <v>159189</v>
      </c>
      <c r="P3" s="42">
        <v>0.9476</v>
      </c>
      <c r="Q3" s="37">
        <v>1000000</v>
      </c>
      <c r="R3" s="37">
        <v>7036503</v>
      </c>
      <c r="S3" s="40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</row>
    <row r="4" spans="1:35" ht="15.75" customHeight="1" x14ac:dyDescent="0.15">
      <c r="A4" s="44" t="s">
        <v>13</v>
      </c>
      <c r="B4" s="45">
        <v>0.89</v>
      </c>
      <c r="C4" s="46">
        <v>6000000</v>
      </c>
      <c r="D4" s="46">
        <v>5325925</v>
      </c>
      <c r="E4" s="38">
        <v>1.78</v>
      </c>
      <c r="F4" s="46">
        <v>3000000</v>
      </c>
      <c r="G4" s="46">
        <v>4487398</v>
      </c>
      <c r="H4" s="38">
        <v>1.5</v>
      </c>
      <c r="I4" s="47" t="s">
        <v>9</v>
      </c>
      <c r="J4" s="40"/>
      <c r="K4" s="46">
        <v>263151</v>
      </c>
      <c r="L4" s="46">
        <v>30486787</v>
      </c>
      <c r="M4" s="41">
        <v>5037596</v>
      </c>
      <c r="N4" s="41">
        <v>3106912</v>
      </c>
      <c r="O4" s="41">
        <v>1930684</v>
      </c>
      <c r="P4" s="42">
        <v>0.61670000000000003</v>
      </c>
      <c r="Q4" s="46">
        <v>1000000</v>
      </c>
      <c r="R4" s="46">
        <v>10521137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15.75" customHeight="1" x14ac:dyDescent="0.15">
      <c r="A5" s="44" t="s">
        <v>11</v>
      </c>
      <c r="B5" s="45">
        <v>0.77</v>
      </c>
      <c r="C5" s="46">
        <v>10876298</v>
      </c>
      <c r="D5" s="46">
        <v>8333644</v>
      </c>
      <c r="E5" s="38">
        <v>1.63</v>
      </c>
      <c r="F5" s="46">
        <v>5120554</v>
      </c>
      <c r="G5" s="46">
        <v>5833956</v>
      </c>
      <c r="H5" s="38">
        <v>1.1399999999999999</v>
      </c>
      <c r="I5" s="47" t="s">
        <v>9</v>
      </c>
      <c r="J5" s="40"/>
      <c r="K5" s="46">
        <v>98665</v>
      </c>
      <c r="L5" s="46">
        <v>18911991</v>
      </c>
      <c r="M5" s="41">
        <v>3000000</v>
      </c>
      <c r="N5" s="41">
        <v>2325925</v>
      </c>
      <c r="O5" s="41">
        <v>674075</v>
      </c>
      <c r="P5" s="42">
        <v>0.77529999999999999</v>
      </c>
      <c r="Q5" s="46">
        <v>1000000</v>
      </c>
      <c r="R5" s="46">
        <v>7000000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15.75" customHeight="1" x14ac:dyDescent="0.15">
      <c r="A6" s="35" t="s">
        <v>39</v>
      </c>
      <c r="B6" s="36">
        <v>0.52</v>
      </c>
      <c r="C6" s="37">
        <v>41431856</v>
      </c>
      <c r="D6" s="37">
        <v>21560530</v>
      </c>
      <c r="E6" s="38">
        <v>1.1100000000000001</v>
      </c>
      <c r="F6" s="37">
        <v>19483647</v>
      </c>
      <c r="G6" s="37">
        <v>11836838</v>
      </c>
      <c r="H6" s="38">
        <v>0.61</v>
      </c>
      <c r="I6" s="39" t="s">
        <v>9</v>
      </c>
      <c r="J6" s="40"/>
      <c r="K6" s="37">
        <v>156202</v>
      </c>
      <c r="L6" s="37">
        <v>18002681</v>
      </c>
      <c r="M6" s="41">
        <v>3000000</v>
      </c>
      <c r="N6" s="41">
        <v>1475618</v>
      </c>
      <c r="O6" s="41">
        <v>1524382</v>
      </c>
      <c r="P6" s="42">
        <v>0.4919</v>
      </c>
      <c r="Q6" s="37">
        <v>1000000</v>
      </c>
      <c r="R6" s="37">
        <v>7000000</v>
      </c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</row>
    <row r="7" spans="1:35" ht="15.75" customHeight="1" x14ac:dyDescent="0.15">
      <c r="A7" s="35" t="s">
        <v>27</v>
      </c>
      <c r="B7" s="36">
        <v>0.32</v>
      </c>
      <c r="C7" s="37">
        <v>15010079</v>
      </c>
      <c r="D7" s="37">
        <v>4877154</v>
      </c>
      <c r="E7" s="38">
        <v>0.69</v>
      </c>
      <c r="F7" s="37">
        <v>7063699</v>
      </c>
      <c r="G7" s="37">
        <v>3947074</v>
      </c>
      <c r="H7" s="38">
        <v>0.56000000000000005</v>
      </c>
      <c r="I7" s="39" t="s">
        <v>9</v>
      </c>
      <c r="J7" s="40"/>
      <c r="K7" s="37">
        <v>105130</v>
      </c>
      <c r="L7" s="37">
        <v>25423979</v>
      </c>
      <c r="M7" s="41">
        <v>5027985</v>
      </c>
      <c r="N7" s="41">
        <v>1529152</v>
      </c>
      <c r="O7" s="41">
        <v>3498833</v>
      </c>
      <c r="P7" s="42">
        <v>0.30409999999999998</v>
      </c>
      <c r="Q7" s="37">
        <v>1000000</v>
      </c>
      <c r="R7" s="37">
        <v>10503000</v>
      </c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</row>
    <row r="8" spans="1:35" ht="15.75" customHeight="1" x14ac:dyDescent="0.15">
      <c r="A8" s="35" t="s">
        <v>28</v>
      </c>
      <c r="B8" s="36">
        <v>0.43</v>
      </c>
      <c r="C8" s="37">
        <v>16769740</v>
      </c>
      <c r="D8" s="37">
        <v>7238180</v>
      </c>
      <c r="E8" s="38">
        <v>0.92</v>
      </c>
      <c r="F8" s="37">
        <v>7890854</v>
      </c>
      <c r="G8" s="37">
        <v>3624331</v>
      </c>
      <c r="H8" s="38">
        <v>0.46</v>
      </c>
      <c r="I8" s="39" t="s">
        <v>9</v>
      </c>
      <c r="J8" s="40"/>
      <c r="K8" s="37">
        <v>209373</v>
      </c>
      <c r="L8" s="37">
        <v>49110940</v>
      </c>
      <c r="M8" s="41">
        <v>8545449</v>
      </c>
      <c r="N8" s="41">
        <v>8754058</v>
      </c>
      <c r="O8" s="48">
        <v>-208609</v>
      </c>
      <c r="P8" s="42">
        <v>1.0244</v>
      </c>
      <c r="Q8" s="37">
        <v>1293215</v>
      </c>
      <c r="R8" s="37">
        <v>17433752</v>
      </c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</row>
    <row r="9" spans="1:35" ht="15.75" customHeight="1" x14ac:dyDescent="0.15">
      <c r="A9" s="35" t="s">
        <v>38</v>
      </c>
      <c r="B9" s="36">
        <v>0.48</v>
      </c>
      <c r="C9" s="37">
        <v>7853131</v>
      </c>
      <c r="D9" s="37">
        <v>3792799</v>
      </c>
      <c r="E9" s="38">
        <v>1.03</v>
      </c>
      <c r="F9" s="37">
        <v>3699470</v>
      </c>
      <c r="G9" s="37">
        <v>1572204</v>
      </c>
      <c r="H9" s="38">
        <v>0.42</v>
      </c>
      <c r="I9" s="39" t="s">
        <v>9</v>
      </c>
      <c r="J9" s="40"/>
      <c r="K9" s="37">
        <v>320324</v>
      </c>
      <c r="L9" s="49">
        <v>44242890</v>
      </c>
      <c r="M9" s="41">
        <v>8397299</v>
      </c>
      <c r="N9" s="41">
        <v>4650644</v>
      </c>
      <c r="O9" s="41">
        <v>3746655</v>
      </c>
      <c r="P9" s="42">
        <v>0.55379999999999996</v>
      </c>
      <c r="Q9" s="37">
        <v>1355000</v>
      </c>
      <c r="R9" s="49">
        <v>17215974</v>
      </c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</row>
    <row r="10" spans="1:35" ht="15.75" customHeight="1" x14ac:dyDescent="0.15">
      <c r="A10" s="35" t="s">
        <v>19</v>
      </c>
      <c r="B10" s="36">
        <v>0.38</v>
      </c>
      <c r="C10" s="37">
        <v>28132930</v>
      </c>
      <c r="D10" s="37">
        <v>10717930</v>
      </c>
      <c r="E10" s="38">
        <v>0.81</v>
      </c>
      <c r="F10" s="37">
        <v>13232290</v>
      </c>
      <c r="G10" s="37">
        <v>4485343</v>
      </c>
      <c r="H10" s="38">
        <v>0.34</v>
      </c>
      <c r="I10" s="39" t="s">
        <v>9</v>
      </c>
      <c r="J10" s="40"/>
      <c r="K10" s="37">
        <v>283616</v>
      </c>
      <c r="L10" s="37">
        <v>30448071</v>
      </c>
      <c r="M10" s="41">
        <v>5755744</v>
      </c>
      <c r="N10" s="41">
        <v>3213090</v>
      </c>
      <c r="O10" s="41">
        <v>2542654</v>
      </c>
      <c r="P10" s="42">
        <v>0.55820000000000003</v>
      </c>
      <c r="Q10" s="37">
        <v>1000000</v>
      </c>
      <c r="R10" s="37">
        <v>11876298</v>
      </c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</row>
    <row r="11" spans="1:35" ht="15.75" customHeight="1" x14ac:dyDescent="0.15">
      <c r="A11" s="35" t="s">
        <v>10</v>
      </c>
      <c r="B11" s="36">
        <v>0.17</v>
      </c>
      <c r="C11" s="37">
        <v>13476843</v>
      </c>
      <c r="D11" s="37">
        <v>2234338</v>
      </c>
      <c r="E11" s="38">
        <v>0.35</v>
      </c>
      <c r="F11" s="37">
        <v>6342979</v>
      </c>
      <c r="G11" s="37">
        <v>1049403</v>
      </c>
      <c r="H11" s="38">
        <v>0.17</v>
      </c>
      <c r="I11" s="39" t="s">
        <v>9</v>
      </c>
      <c r="J11" s="40"/>
      <c r="K11" s="37">
        <v>547648</v>
      </c>
      <c r="L11" s="37">
        <v>106269777</v>
      </c>
      <c r="M11" s="41">
        <v>21613782</v>
      </c>
      <c r="N11" s="41">
        <v>5289868</v>
      </c>
      <c r="O11" s="41">
        <v>16323914</v>
      </c>
      <c r="P11" s="42">
        <v>0.2447</v>
      </c>
      <c r="Q11" s="37">
        <v>3441134</v>
      </c>
      <c r="R11" s="37">
        <v>44241919</v>
      </c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15">
      <c r="A12" s="35" t="s">
        <v>8</v>
      </c>
      <c r="B12" s="36">
        <v>0.63</v>
      </c>
      <c r="C12" s="37">
        <v>73502386</v>
      </c>
      <c r="D12" s="37">
        <v>46640311</v>
      </c>
      <c r="E12" s="38">
        <v>1.35</v>
      </c>
      <c r="F12" s="37">
        <v>34558874</v>
      </c>
      <c r="G12" s="37">
        <v>5535494</v>
      </c>
      <c r="H12" s="38">
        <v>0.16</v>
      </c>
      <c r="I12" s="39" t="s">
        <v>9</v>
      </c>
      <c r="J12" s="40"/>
      <c r="K12" s="37">
        <v>123253</v>
      </c>
      <c r="L12" s="37">
        <v>29828219</v>
      </c>
      <c r="M12" s="41">
        <v>6738676</v>
      </c>
      <c r="N12" s="41">
        <v>0</v>
      </c>
      <c r="O12" s="41">
        <v>6738676</v>
      </c>
      <c r="P12" s="42">
        <v>0</v>
      </c>
      <c r="Q12" s="37">
        <v>1000000</v>
      </c>
      <c r="R12" s="37">
        <v>13512099</v>
      </c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15">
      <c r="A13" s="44" t="s">
        <v>37</v>
      </c>
      <c r="B13" s="45">
        <v>0.33</v>
      </c>
      <c r="C13" s="46">
        <v>20740675</v>
      </c>
      <c r="D13" s="46">
        <v>6877853</v>
      </c>
      <c r="E13" s="38">
        <v>0.71</v>
      </c>
      <c r="F13" s="46">
        <v>9757450</v>
      </c>
      <c r="G13" s="46">
        <v>1398513</v>
      </c>
      <c r="H13" s="38">
        <v>0.14000000000000001</v>
      </c>
      <c r="I13" s="47" t="s">
        <v>9</v>
      </c>
      <c r="J13" s="40"/>
      <c r="K13" s="46">
        <v>6995</v>
      </c>
      <c r="L13" s="46">
        <v>2882935</v>
      </c>
      <c r="M13" s="41">
        <v>600000</v>
      </c>
      <c r="N13" s="41">
        <v>1715</v>
      </c>
      <c r="O13" s="41">
        <v>598285</v>
      </c>
      <c r="P13" s="42">
        <v>2.8999999999999998E-3</v>
      </c>
      <c r="Q13" s="46">
        <v>200000</v>
      </c>
      <c r="R13" s="46">
        <v>1400000</v>
      </c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 ht="15.75" customHeight="1" x14ac:dyDescent="0.15">
      <c r="A14" s="35" t="s">
        <v>17</v>
      </c>
      <c r="B14" s="36">
        <v>7.0000000000000007E-2</v>
      </c>
      <c r="C14" s="37">
        <v>6642675</v>
      </c>
      <c r="D14" s="37">
        <v>471968</v>
      </c>
      <c r="E14" s="38">
        <v>0.15</v>
      </c>
      <c r="F14" s="37">
        <v>3134080</v>
      </c>
      <c r="G14" s="37">
        <v>366052</v>
      </c>
      <c r="H14" s="38">
        <v>0.12</v>
      </c>
      <c r="I14" s="39" t="s">
        <v>9</v>
      </c>
      <c r="J14" s="40"/>
      <c r="K14" s="37">
        <v>34671</v>
      </c>
      <c r="L14" s="37">
        <v>59500552</v>
      </c>
      <c r="M14" s="41">
        <v>11601395</v>
      </c>
      <c r="N14" s="41">
        <v>9028385</v>
      </c>
      <c r="O14" s="41">
        <v>2573010</v>
      </c>
      <c r="P14" s="42">
        <v>0.7782</v>
      </c>
      <c r="Q14" s="37">
        <v>1828609</v>
      </c>
      <c r="R14" s="37">
        <v>23735787</v>
      </c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</row>
    <row r="15" spans="1:35" ht="15.75" customHeight="1" x14ac:dyDescent="0.15">
      <c r="A15" s="44" t="s">
        <v>45</v>
      </c>
      <c r="B15" s="36">
        <v>0.59</v>
      </c>
      <c r="C15" s="37">
        <v>11392028</v>
      </c>
      <c r="D15" s="37">
        <v>6768806</v>
      </c>
      <c r="E15" s="38">
        <v>0.54</v>
      </c>
      <c r="F15" s="37">
        <v>5362981</v>
      </c>
      <c r="G15" s="37">
        <v>1571741</v>
      </c>
      <c r="H15" s="38">
        <v>0.28999999999999998</v>
      </c>
      <c r="I15" s="39" t="s">
        <v>9</v>
      </c>
      <c r="J15" s="40"/>
      <c r="K15" s="37">
        <v>135189</v>
      </c>
      <c r="L15" s="37">
        <v>15035147</v>
      </c>
      <c r="M15" s="41">
        <v>3133535</v>
      </c>
      <c r="N15" s="41">
        <v>451219</v>
      </c>
      <c r="O15" s="41">
        <v>2682316</v>
      </c>
      <c r="P15" s="42">
        <v>0.14399999999999999</v>
      </c>
      <c r="Q15" s="37">
        <v>1000000</v>
      </c>
      <c r="R15" s="37">
        <v>7133535</v>
      </c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15">
      <c r="A16" s="44" t="s">
        <v>48</v>
      </c>
      <c r="B16" s="45">
        <v>0.48</v>
      </c>
      <c r="C16" s="46">
        <v>6216180</v>
      </c>
      <c r="D16" s="46">
        <v>2999665</v>
      </c>
      <c r="E16" s="38">
        <v>1</v>
      </c>
      <c r="F16" s="46">
        <v>3000000</v>
      </c>
      <c r="G16" s="46">
        <v>2807362</v>
      </c>
      <c r="H16" s="38">
        <v>0.93</v>
      </c>
      <c r="I16" s="47" t="s">
        <v>9</v>
      </c>
      <c r="J16" s="40"/>
      <c r="K16" s="46">
        <v>0</v>
      </c>
      <c r="L16" s="46">
        <v>3099630</v>
      </c>
      <c r="M16" s="41">
        <v>600000</v>
      </c>
      <c r="N16" s="41">
        <v>248458</v>
      </c>
      <c r="O16" s="41">
        <v>351542</v>
      </c>
      <c r="P16" s="42">
        <v>0.41410000000000002</v>
      </c>
      <c r="Q16" s="46">
        <v>200000</v>
      </c>
      <c r="R16" s="46">
        <v>1400000</v>
      </c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35" ht="15.75" customHeight="1" x14ac:dyDescent="0.15">
      <c r="A17" s="35" t="s">
        <v>55</v>
      </c>
      <c r="B17" s="36">
        <v>0.28999999999999998</v>
      </c>
      <c r="C17" s="37">
        <v>6000000</v>
      </c>
      <c r="D17" s="37">
        <v>1750281</v>
      </c>
      <c r="E17" s="38">
        <v>0.57999999999999996</v>
      </c>
      <c r="F17" s="37">
        <v>3000000</v>
      </c>
      <c r="G17" s="37">
        <v>1391104</v>
      </c>
      <c r="H17" s="38">
        <v>0.46</v>
      </c>
      <c r="I17" s="39" t="s">
        <v>9</v>
      </c>
      <c r="J17" s="40"/>
      <c r="K17" s="37">
        <v>142194</v>
      </c>
      <c r="L17" s="37">
        <v>16984750</v>
      </c>
      <c r="M17" s="41">
        <v>3624280</v>
      </c>
      <c r="N17" s="41">
        <v>1140509</v>
      </c>
      <c r="O17" s="41">
        <v>2483771</v>
      </c>
      <c r="P17" s="42">
        <v>0.31469999999999998</v>
      </c>
      <c r="Q17" s="37">
        <v>1000000</v>
      </c>
      <c r="R17" s="37">
        <v>7854176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spans="1:35" ht="15.75" customHeight="1" x14ac:dyDescent="0.15">
      <c r="A18" s="35" t="s">
        <v>57</v>
      </c>
      <c r="B18" s="36">
        <v>0.82</v>
      </c>
      <c r="C18" s="37">
        <v>16805723</v>
      </c>
      <c r="D18" s="37">
        <v>13829358</v>
      </c>
      <c r="E18" s="38">
        <v>1.75</v>
      </c>
      <c r="F18" s="37">
        <v>7907768</v>
      </c>
      <c r="G18" s="46">
        <v>5818635</v>
      </c>
      <c r="H18" s="38">
        <v>0.74</v>
      </c>
      <c r="I18" s="39" t="s">
        <v>9</v>
      </c>
      <c r="J18" s="40"/>
      <c r="K18" s="37">
        <v>710336</v>
      </c>
      <c r="L18" s="37">
        <v>95023209</v>
      </c>
      <c r="M18" s="41">
        <v>21948209</v>
      </c>
      <c r="N18" s="41">
        <v>2076883</v>
      </c>
      <c r="O18" s="41">
        <v>19871326</v>
      </c>
      <c r="P18" s="42">
        <v>9.4600000000000004E-2</v>
      </c>
      <c r="Q18" s="37">
        <v>3219900</v>
      </c>
      <c r="R18" s="37">
        <v>44651756</v>
      </c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15">
      <c r="A19" s="50" t="s">
        <v>91</v>
      </c>
      <c r="B19" s="51">
        <f>D19/C19</f>
        <v>0.52040012806852165</v>
      </c>
      <c r="C19" s="52">
        <f t="shared" ref="C19:D19" si="0">SUM(C3:C18)</f>
        <v>286887047</v>
      </c>
      <c r="D19" s="53">
        <f t="shared" si="0"/>
        <v>149296056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 ht="15.75" customHeight="1" x14ac:dyDescent="0.15">
      <c r="A20" s="50" t="s">
        <v>92</v>
      </c>
      <c r="B20" s="50"/>
      <c r="C20" s="54">
        <f t="shared" ref="C20:D20" si="1">C19/C2</f>
        <v>0.35638481780527165</v>
      </c>
      <c r="D20" s="54">
        <f t="shared" si="1"/>
        <v>0.35145256983316936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 ht="15.75" customHeight="1" x14ac:dyDescent="0.15">
      <c r="A21" s="50" t="s">
        <v>93</v>
      </c>
      <c r="B21" s="54">
        <f t="shared" ref="B21:H21" si="2">MEDIAN(B3:B18)</f>
        <v>0.48</v>
      </c>
      <c r="C21" s="52">
        <f t="shared" si="2"/>
        <v>12434435.5</v>
      </c>
      <c r="D21" s="52">
        <f t="shared" si="2"/>
        <v>6323060</v>
      </c>
      <c r="E21" s="54">
        <f t="shared" si="2"/>
        <v>0.96</v>
      </c>
      <c r="F21" s="52">
        <f t="shared" si="2"/>
        <v>5852980</v>
      </c>
      <c r="G21" s="52">
        <f t="shared" si="2"/>
        <v>3785702.5</v>
      </c>
      <c r="H21" s="54">
        <f t="shared" si="2"/>
        <v>0.46</v>
      </c>
      <c r="I21" s="55"/>
      <c r="J21" s="55"/>
      <c r="K21" s="56"/>
      <c r="L21" s="56"/>
      <c r="M21" s="56"/>
      <c r="N21" s="56"/>
      <c r="O21" s="56"/>
      <c r="P21" s="56"/>
      <c r="Q21" s="56"/>
      <c r="R21" s="5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</row>
    <row r="22" spans="1:35" ht="15.75" customHeight="1" x14ac:dyDescent="0.15">
      <c r="A22" s="50" t="s">
        <v>94</v>
      </c>
      <c r="B22" s="54">
        <f t="shared" ref="B22:H22" si="3">AVERAGE(B3:B18)</f>
        <v>0.50874999999999992</v>
      </c>
      <c r="C22" s="52">
        <f t="shared" si="3"/>
        <v>17930440.4375</v>
      </c>
      <c r="D22" s="52">
        <f t="shared" si="3"/>
        <v>9331003.5</v>
      </c>
      <c r="E22" s="54">
        <f t="shared" si="3"/>
        <v>1.0212500000000002</v>
      </c>
      <c r="F22" s="52">
        <f t="shared" si="3"/>
        <v>8472165.375</v>
      </c>
      <c r="G22" s="52">
        <f t="shared" si="3"/>
        <v>3855560.4375</v>
      </c>
      <c r="H22" s="54">
        <f t="shared" si="3"/>
        <v>0.62687500000000007</v>
      </c>
      <c r="I22" s="55"/>
      <c r="J22" s="55"/>
      <c r="K22" s="56"/>
      <c r="L22" s="56"/>
      <c r="M22" s="56"/>
      <c r="N22" s="56"/>
      <c r="O22" s="56"/>
      <c r="P22" s="56"/>
      <c r="Q22" s="56"/>
      <c r="R22" s="5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</row>
    <row r="23" spans="1:35" ht="15.75" customHeight="1" x14ac:dyDescent="0.15">
      <c r="G23" s="8"/>
    </row>
    <row r="24" spans="1:35" ht="15" x14ac:dyDescent="0.2">
      <c r="A24" s="57"/>
      <c r="B24" s="57"/>
      <c r="C24" s="57"/>
      <c r="D24" s="58"/>
      <c r="E24" s="115"/>
      <c r="F24" s="116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</row>
    <row r="25" spans="1:35" s="89" customFormat="1" ht="107" customHeight="1" x14ac:dyDescent="0.15">
      <c r="A25" s="86" t="s">
        <v>62</v>
      </c>
      <c r="B25" s="86" t="s">
        <v>80</v>
      </c>
      <c r="C25" s="86" t="s">
        <v>81</v>
      </c>
      <c r="D25" s="86" t="s">
        <v>82</v>
      </c>
      <c r="E25" s="86" t="s">
        <v>83</v>
      </c>
      <c r="F25" s="86" t="s">
        <v>84</v>
      </c>
      <c r="G25" s="86" t="s">
        <v>85</v>
      </c>
      <c r="H25" s="86" t="s">
        <v>86</v>
      </c>
      <c r="I25" s="86" t="s">
        <v>87</v>
      </c>
      <c r="J25" s="87"/>
      <c r="K25" s="86" t="s">
        <v>66</v>
      </c>
      <c r="L25" s="86" t="s">
        <v>88</v>
      </c>
      <c r="M25" s="86" t="s">
        <v>68</v>
      </c>
      <c r="N25" s="86" t="s">
        <v>69</v>
      </c>
      <c r="O25" s="88" t="s">
        <v>89</v>
      </c>
      <c r="P25" s="86" t="s">
        <v>71</v>
      </c>
      <c r="Q25" s="86" t="s">
        <v>90</v>
      </c>
      <c r="R25" s="86" t="s">
        <v>73</v>
      </c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</row>
    <row r="26" spans="1:35" ht="15.75" customHeight="1" x14ac:dyDescent="0.15">
      <c r="A26" s="30" t="s">
        <v>63</v>
      </c>
      <c r="B26" s="31">
        <v>0.52</v>
      </c>
      <c r="C26" s="32">
        <v>804992336</v>
      </c>
      <c r="D26" s="32">
        <v>420949352</v>
      </c>
      <c r="E26" s="31">
        <v>1.1200000000000001</v>
      </c>
      <c r="F26" s="32">
        <v>380000000</v>
      </c>
      <c r="G26" s="32">
        <v>255252660</v>
      </c>
      <c r="H26" s="30"/>
      <c r="I26" s="30"/>
      <c r="J26" s="33"/>
      <c r="K26" s="32">
        <v>16164696</v>
      </c>
      <c r="L26" s="32">
        <v>1877607047</v>
      </c>
      <c r="M26" s="34">
        <v>425240245</v>
      </c>
      <c r="N26" s="34">
        <v>100928807</v>
      </c>
      <c r="O26" s="34">
        <v>324311438</v>
      </c>
      <c r="P26" s="31">
        <v>0.24</v>
      </c>
      <c r="Q26" s="32">
        <v>75000000</v>
      </c>
      <c r="R26" s="32">
        <v>879992336</v>
      </c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</row>
    <row r="27" spans="1:35" ht="15.75" customHeight="1" x14ac:dyDescent="0.15">
      <c r="A27" s="35" t="s">
        <v>36</v>
      </c>
      <c r="B27" s="36">
        <v>0.34</v>
      </c>
      <c r="C27" s="37">
        <v>6582633</v>
      </c>
      <c r="D27" s="37">
        <v>2249042</v>
      </c>
      <c r="E27" s="38">
        <v>0.73</v>
      </c>
      <c r="F27" s="37">
        <v>3102253</v>
      </c>
      <c r="G27" s="37">
        <v>1858696</v>
      </c>
      <c r="H27" s="38">
        <v>0.6</v>
      </c>
      <c r="I27" s="59" t="s">
        <v>26</v>
      </c>
      <c r="J27" s="40"/>
      <c r="K27" s="37">
        <v>340586</v>
      </c>
      <c r="L27" s="37">
        <v>15182268</v>
      </c>
      <c r="M27" s="41">
        <v>3925332</v>
      </c>
      <c r="N27" s="41">
        <v>0</v>
      </c>
      <c r="O27" s="41">
        <v>3925332</v>
      </c>
      <c r="P27" s="42">
        <v>0</v>
      </c>
      <c r="Q27" s="37">
        <v>1000000</v>
      </c>
      <c r="R27" s="37">
        <v>8422268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15">
      <c r="A28" s="35" t="s">
        <v>35</v>
      </c>
      <c r="B28" s="36">
        <v>0.4</v>
      </c>
      <c r="C28" s="37">
        <v>9083287</v>
      </c>
      <c r="D28" s="37">
        <v>3669078</v>
      </c>
      <c r="E28" s="38">
        <v>0.86</v>
      </c>
      <c r="F28" s="37">
        <v>4277723</v>
      </c>
      <c r="G28" s="37">
        <v>1698658</v>
      </c>
      <c r="H28" s="38">
        <v>0.4</v>
      </c>
      <c r="I28" s="59" t="s">
        <v>26</v>
      </c>
      <c r="J28" s="40"/>
      <c r="K28" s="37">
        <v>248950</v>
      </c>
      <c r="L28" s="37">
        <v>17166555</v>
      </c>
      <c r="M28" s="41">
        <v>4153661</v>
      </c>
      <c r="N28" s="41">
        <v>93329</v>
      </c>
      <c r="O28" s="41">
        <v>4060332</v>
      </c>
      <c r="P28" s="42">
        <v>2.2499999999999999E-2</v>
      </c>
      <c r="Q28" s="37">
        <v>1000000</v>
      </c>
      <c r="R28" s="37">
        <v>8853131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15">
      <c r="A29" s="35" t="s">
        <v>29</v>
      </c>
      <c r="B29" s="36">
        <v>0.28000000000000003</v>
      </c>
      <c r="C29" s="37">
        <v>22760697</v>
      </c>
      <c r="D29" s="37">
        <v>6325606</v>
      </c>
      <c r="E29" s="60">
        <v>0.59</v>
      </c>
      <c r="F29" s="37">
        <v>10706992</v>
      </c>
      <c r="G29" s="37">
        <v>2441648</v>
      </c>
      <c r="H29" s="38">
        <v>0.23</v>
      </c>
      <c r="I29" s="59" t="s">
        <v>26</v>
      </c>
      <c r="J29" s="40"/>
      <c r="K29" s="37">
        <v>214046</v>
      </c>
      <c r="L29" s="37">
        <v>18942793</v>
      </c>
      <c r="M29" s="41">
        <v>4805564</v>
      </c>
      <c r="N29" s="41">
        <v>0</v>
      </c>
      <c r="O29" s="41">
        <v>4805564</v>
      </c>
      <c r="P29" s="42">
        <v>0</v>
      </c>
      <c r="Q29" s="37">
        <v>1000000</v>
      </c>
      <c r="R29" s="37">
        <v>10083287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15">
      <c r="A30" s="44" t="s">
        <v>30</v>
      </c>
      <c r="B30" s="36">
        <v>0.23</v>
      </c>
      <c r="C30" s="37">
        <v>14014282</v>
      </c>
      <c r="D30" s="37">
        <v>3272652</v>
      </c>
      <c r="E30" s="60">
        <v>0.5</v>
      </c>
      <c r="F30" s="37">
        <v>6595610</v>
      </c>
      <c r="G30" s="37">
        <v>1101579</v>
      </c>
      <c r="H30" s="38">
        <v>0.17</v>
      </c>
      <c r="I30" s="59" t="s">
        <v>26</v>
      </c>
      <c r="J30" s="40"/>
      <c r="K30" s="37">
        <v>368252</v>
      </c>
      <c r="L30" s="37">
        <v>29474729</v>
      </c>
      <c r="M30" s="41">
        <v>8134566</v>
      </c>
      <c r="N30" s="41">
        <v>0</v>
      </c>
      <c r="O30" s="41">
        <v>8134566</v>
      </c>
      <c r="P30" s="42">
        <v>0</v>
      </c>
      <c r="Q30" s="37">
        <v>1219482</v>
      </c>
      <c r="R30" s="37">
        <v>16584673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15">
      <c r="A31" s="35" t="s">
        <v>25</v>
      </c>
      <c r="B31" s="36">
        <v>0.05</v>
      </c>
      <c r="C31" s="37">
        <v>6643743</v>
      </c>
      <c r="D31" s="37">
        <v>312936</v>
      </c>
      <c r="E31" s="60">
        <v>0.1</v>
      </c>
      <c r="F31" s="37">
        <v>3130979</v>
      </c>
      <c r="G31" s="37">
        <v>277290</v>
      </c>
      <c r="H31" s="38">
        <v>0.09</v>
      </c>
      <c r="I31" s="59" t="s">
        <v>26</v>
      </c>
      <c r="J31" s="40"/>
      <c r="K31" s="37">
        <v>630778</v>
      </c>
      <c r="L31" s="37">
        <v>57199272</v>
      </c>
      <c r="M31" s="41">
        <v>14900640</v>
      </c>
      <c r="N31" s="41">
        <v>0</v>
      </c>
      <c r="O31" s="41">
        <v>14900640</v>
      </c>
      <c r="P31" s="42">
        <v>0</v>
      </c>
      <c r="Q31" s="37">
        <v>2143228</v>
      </c>
      <c r="R31" s="37">
        <v>30276158</v>
      </c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15">
      <c r="A32" s="35" t="s">
        <v>40</v>
      </c>
      <c r="B32" s="36">
        <v>0.24</v>
      </c>
      <c r="C32" s="37">
        <v>22050678</v>
      </c>
      <c r="D32" s="37">
        <v>5266285</v>
      </c>
      <c r="E32" s="60">
        <v>0.51</v>
      </c>
      <c r="F32" s="37">
        <v>10373237</v>
      </c>
      <c r="G32" s="37">
        <v>5266285</v>
      </c>
      <c r="H32" s="38">
        <v>0.51</v>
      </c>
      <c r="I32" s="59" t="s">
        <v>26</v>
      </c>
      <c r="J32" s="40"/>
      <c r="K32" s="37">
        <v>490666</v>
      </c>
      <c r="L32" s="37">
        <v>42725610</v>
      </c>
      <c r="M32" s="41">
        <v>12053705</v>
      </c>
      <c r="N32" s="41">
        <v>0</v>
      </c>
      <c r="O32" s="41">
        <v>12053705</v>
      </c>
      <c r="P32" s="42">
        <v>0</v>
      </c>
      <c r="Q32" s="37">
        <v>1774556</v>
      </c>
      <c r="R32" s="37">
        <v>24535253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</row>
    <row r="33" spans="1:35" ht="15.75" customHeight="1" x14ac:dyDescent="0.15">
      <c r="A33" s="35" t="s">
        <v>46</v>
      </c>
      <c r="B33" s="36">
        <v>0.73</v>
      </c>
      <c r="C33" s="37">
        <v>28651723</v>
      </c>
      <c r="D33" s="37">
        <v>21037015</v>
      </c>
      <c r="E33" s="38">
        <v>1.56</v>
      </c>
      <c r="F33" s="37">
        <v>13476156</v>
      </c>
      <c r="G33" s="37">
        <v>25701621</v>
      </c>
      <c r="H33" s="38">
        <v>1.9</v>
      </c>
      <c r="I33" s="59" t="s">
        <v>26</v>
      </c>
      <c r="J33" s="40"/>
      <c r="K33" s="37">
        <v>553664</v>
      </c>
      <c r="L33" s="37">
        <v>23657228</v>
      </c>
      <c r="M33" s="41">
        <v>7133864</v>
      </c>
      <c r="N33" s="41">
        <v>0</v>
      </c>
      <c r="O33" s="41">
        <v>7133864</v>
      </c>
      <c r="P33" s="42">
        <v>0</v>
      </c>
      <c r="Q33" s="37">
        <v>1172438</v>
      </c>
      <c r="R33" s="37">
        <v>14649281</v>
      </c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15">
      <c r="A34" s="35" t="s">
        <v>56</v>
      </c>
      <c r="B34" s="36">
        <v>0.45</v>
      </c>
      <c r="C34" s="37">
        <v>19301044</v>
      </c>
      <c r="D34" s="37">
        <v>8635637</v>
      </c>
      <c r="E34" s="38">
        <v>0.95</v>
      </c>
      <c r="F34" s="37">
        <v>9080731</v>
      </c>
      <c r="G34" s="37">
        <v>4727727</v>
      </c>
      <c r="H34" s="38">
        <v>0.52</v>
      </c>
      <c r="I34" s="59" t="s">
        <v>26</v>
      </c>
      <c r="J34" s="40"/>
      <c r="K34" s="37">
        <v>386580</v>
      </c>
      <c r="L34" s="37">
        <v>25370704</v>
      </c>
      <c r="M34" s="41">
        <v>7418672</v>
      </c>
      <c r="N34" s="41">
        <v>0</v>
      </c>
      <c r="O34" s="41">
        <v>7418672</v>
      </c>
      <c r="P34" s="42">
        <v>0</v>
      </c>
      <c r="Q34" s="37">
        <v>1151122</v>
      </c>
      <c r="R34" s="37">
        <v>15165404</v>
      </c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15">
      <c r="A35" s="35" t="s">
        <v>59</v>
      </c>
      <c r="B35" s="36">
        <v>0.59</v>
      </c>
      <c r="C35" s="37">
        <v>14828442</v>
      </c>
      <c r="D35" s="37">
        <v>8762226</v>
      </c>
      <c r="E35" s="38">
        <v>1.26</v>
      </c>
      <c r="F35" s="37">
        <v>6978318</v>
      </c>
      <c r="G35" s="37">
        <v>7101301</v>
      </c>
      <c r="H35" s="38">
        <v>1.02</v>
      </c>
      <c r="I35" s="59" t="s">
        <v>26</v>
      </c>
      <c r="J35" s="40"/>
      <c r="K35" s="37">
        <v>1163102</v>
      </c>
      <c r="L35" s="37">
        <v>161400169</v>
      </c>
      <c r="M35" s="41">
        <v>38943512</v>
      </c>
      <c r="N35" s="41">
        <v>12081437</v>
      </c>
      <c r="O35" s="41">
        <v>26862075</v>
      </c>
      <c r="P35" s="42">
        <v>0.31019999999999998</v>
      </c>
      <c r="Q35" s="37">
        <v>5826224</v>
      </c>
      <c r="R35" s="37">
        <v>79328610</v>
      </c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15">
      <c r="A36" s="61" t="s">
        <v>95</v>
      </c>
      <c r="B36" s="62">
        <v>0.41360000000000002</v>
      </c>
      <c r="C36" s="63">
        <v>143916529</v>
      </c>
      <c r="D36" s="63">
        <v>59530477</v>
      </c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.75" customHeight="1" x14ac:dyDescent="0.15">
      <c r="A37" s="61" t="s">
        <v>92</v>
      </c>
      <c r="B37" s="62"/>
      <c r="C37" s="64">
        <f t="shared" ref="C37:D37" si="4">C36/C26</f>
        <v>0.1787799989688349</v>
      </c>
      <c r="D37" s="64">
        <f t="shared" si="4"/>
        <v>0.14141957154028353</v>
      </c>
      <c r="E37" s="62"/>
      <c r="F37" s="65"/>
      <c r="G37" s="65"/>
      <c r="H37" s="62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15.75" customHeight="1" x14ac:dyDescent="0.15">
      <c r="A38" s="61" t="s">
        <v>96</v>
      </c>
      <c r="B38" s="62">
        <v>0.34</v>
      </c>
      <c r="C38" s="65">
        <v>14828442</v>
      </c>
      <c r="D38" s="65">
        <v>5266285</v>
      </c>
      <c r="E38" s="62">
        <v>0.73</v>
      </c>
      <c r="F38" s="65">
        <v>6978318</v>
      </c>
      <c r="G38" s="65">
        <v>2441648</v>
      </c>
      <c r="H38" s="62">
        <v>0.51</v>
      </c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ht="15.75" customHeight="1" x14ac:dyDescent="0.15">
      <c r="A39" s="61" t="s">
        <v>97</v>
      </c>
      <c r="B39" s="62">
        <v>0.36780000000000002</v>
      </c>
      <c r="C39" s="65">
        <v>15990725.439999999</v>
      </c>
      <c r="D39" s="65">
        <v>6614497.4400000004</v>
      </c>
      <c r="E39" s="62">
        <v>0.78439999999999999</v>
      </c>
      <c r="F39" s="65">
        <v>7524666.5599999996</v>
      </c>
      <c r="G39" s="65">
        <v>5574978.3300000001</v>
      </c>
      <c r="H39" s="62">
        <v>0.60440000000000005</v>
      </c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ht="1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</row>
    <row r="41" spans="1:35" ht="15" x14ac:dyDescent="0.2">
      <c r="A41" s="57"/>
      <c r="B41" s="57"/>
      <c r="C41" s="6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</row>
    <row r="42" spans="1:35" s="85" customFormat="1" ht="100" customHeight="1" x14ac:dyDescent="0.15">
      <c r="A42" s="82" t="s">
        <v>62</v>
      </c>
      <c r="B42" s="82" t="s">
        <v>80</v>
      </c>
      <c r="C42" s="82" t="s">
        <v>81</v>
      </c>
      <c r="D42" s="82" t="s">
        <v>82</v>
      </c>
      <c r="E42" s="82" t="s">
        <v>83</v>
      </c>
      <c r="F42" s="82" t="s">
        <v>84</v>
      </c>
      <c r="G42" s="82" t="s">
        <v>85</v>
      </c>
      <c r="H42" s="82" t="s">
        <v>86</v>
      </c>
      <c r="I42" s="82" t="s">
        <v>87</v>
      </c>
      <c r="J42" s="83"/>
      <c r="K42" s="82" t="s">
        <v>66</v>
      </c>
      <c r="L42" s="82" t="s">
        <v>88</v>
      </c>
      <c r="M42" s="82" t="s">
        <v>68</v>
      </c>
      <c r="N42" s="82" t="s">
        <v>69</v>
      </c>
      <c r="O42" s="84" t="s">
        <v>89</v>
      </c>
      <c r="P42" s="82" t="s">
        <v>71</v>
      </c>
      <c r="Q42" s="82" t="s">
        <v>90</v>
      </c>
      <c r="R42" s="82" t="s">
        <v>73</v>
      </c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</row>
    <row r="43" spans="1:35" ht="15.75" customHeight="1" x14ac:dyDescent="0.15">
      <c r="A43" s="30" t="s">
        <v>63</v>
      </c>
      <c r="B43" s="31">
        <v>0.52</v>
      </c>
      <c r="C43" s="32">
        <v>804992336</v>
      </c>
      <c r="D43" s="32">
        <v>420949352</v>
      </c>
      <c r="E43" s="31">
        <v>1.1200000000000001</v>
      </c>
      <c r="F43" s="32">
        <v>380000000</v>
      </c>
      <c r="G43" s="32">
        <v>255252660</v>
      </c>
      <c r="H43" s="30"/>
      <c r="I43" s="30"/>
      <c r="J43" s="33"/>
      <c r="K43" s="32">
        <v>16164696</v>
      </c>
      <c r="L43" s="32">
        <v>1877607047</v>
      </c>
      <c r="M43" s="34">
        <v>425240245</v>
      </c>
      <c r="N43" s="34">
        <v>100928807</v>
      </c>
      <c r="O43" s="34">
        <v>324311438</v>
      </c>
      <c r="P43" s="31">
        <v>0.24</v>
      </c>
      <c r="Q43" s="32">
        <v>75000000</v>
      </c>
      <c r="R43" s="32">
        <v>879992336</v>
      </c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</row>
    <row r="44" spans="1:35" ht="15.75" customHeight="1" x14ac:dyDescent="0.15">
      <c r="A44" s="35" t="s">
        <v>31</v>
      </c>
      <c r="B44" s="36">
        <v>0.8</v>
      </c>
      <c r="C44" s="37">
        <v>9521137</v>
      </c>
      <c r="D44" s="37">
        <v>7590453</v>
      </c>
      <c r="E44" s="38">
        <v>1.69</v>
      </c>
      <c r="F44" s="37">
        <v>4483541</v>
      </c>
      <c r="G44" s="37">
        <v>8628501</v>
      </c>
      <c r="H44" s="38">
        <v>1.92</v>
      </c>
      <c r="I44" s="70" t="s">
        <v>1</v>
      </c>
      <c r="J44" s="40"/>
      <c r="K44" s="37">
        <v>384315</v>
      </c>
      <c r="L44" s="37">
        <v>39158807</v>
      </c>
      <c r="M44" s="41">
        <v>10983225</v>
      </c>
      <c r="N44" s="41">
        <v>0</v>
      </c>
      <c r="O44" s="41">
        <v>10983225</v>
      </c>
      <c r="P44" s="42">
        <v>0</v>
      </c>
      <c r="Q44" s="37">
        <v>1662570</v>
      </c>
      <c r="R44" s="37">
        <v>22403245</v>
      </c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15">
      <c r="A45" s="35" t="s">
        <v>2</v>
      </c>
      <c r="B45" s="36">
        <v>0.75</v>
      </c>
      <c r="C45" s="37">
        <v>6000000</v>
      </c>
      <c r="D45" s="37">
        <v>4475618</v>
      </c>
      <c r="E45" s="38">
        <v>1.49</v>
      </c>
      <c r="F45" s="37">
        <v>3000000</v>
      </c>
      <c r="G45" s="49">
        <v>4370858</v>
      </c>
      <c r="H45" s="38">
        <v>1.46</v>
      </c>
      <c r="I45" s="70" t="s">
        <v>1</v>
      </c>
      <c r="J45" s="40"/>
      <c r="K45" s="37">
        <v>106201</v>
      </c>
      <c r="L45" s="37">
        <v>10720976</v>
      </c>
      <c r="M45" s="41">
        <v>3508595</v>
      </c>
      <c r="N45" s="41">
        <v>0</v>
      </c>
      <c r="O45" s="41">
        <v>3508595</v>
      </c>
      <c r="P45" s="42">
        <v>0</v>
      </c>
      <c r="Q45" s="37">
        <v>1000000</v>
      </c>
      <c r="R45" s="37">
        <v>7642675</v>
      </c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15">
      <c r="A46" s="35" t="s">
        <v>7</v>
      </c>
      <c r="B46" s="36">
        <v>0.63</v>
      </c>
      <c r="C46" s="37">
        <v>9503000</v>
      </c>
      <c r="D46" s="37">
        <v>6004167</v>
      </c>
      <c r="E46" s="38">
        <v>1.34</v>
      </c>
      <c r="F46" s="37">
        <v>4475015</v>
      </c>
      <c r="G46" s="37">
        <v>5336664</v>
      </c>
      <c r="H46" s="38">
        <v>1.19</v>
      </c>
      <c r="I46" s="70" t="s">
        <v>1</v>
      </c>
      <c r="J46" s="40"/>
      <c r="K46" s="37">
        <v>158912</v>
      </c>
      <c r="L46" s="37">
        <v>10523860</v>
      </c>
      <c r="M46" s="41">
        <v>3512764</v>
      </c>
      <c r="N46" s="41">
        <v>0</v>
      </c>
      <c r="O46" s="41">
        <v>3512764</v>
      </c>
      <c r="P46" s="42">
        <v>0</v>
      </c>
      <c r="Q46" s="37">
        <v>1000000</v>
      </c>
      <c r="R46" s="37">
        <v>7643743</v>
      </c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15">
      <c r="A47" s="35" t="s">
        <v>20</v>
      </c>
      <c r="B47" s="36">
        <v>1.01</v>
      </c>
      <c r="C47" s="37">
        <v>16140537</v>
      </c>
      <c r="D47" s="37">
        <v>16349146</v>
      </c>
      <c r="E47" s="38">
        <v>2.15</v>
      </c>
      <c r="F47" s="37">
        <v>7595088</v>
      </c>
      <c r="G47" s="37">
        <v>8816793</v>
      </c>
      <c r="H47" s="38">
        <v>1.1599999999999999</v>
      </c>
      <c r="I47" s="70" t="s">
        <v>1</v>
      </c>
      <c r="J47" s="40"/>
      <c r="K47" s="37">
        <v>107565</v>
      </c>
      <c r="L47" s="37">
        <v>17497921</v>
      </c>
      <c r="M47" s="41">
        <v>4924921</v>
      </c>
      <c r="N47" s="41">
        <v>0</v>
      </c>
      <c r="O47" s="41">
        <v>4924921</v>
      </c>
      <c r="P47" s="42">
        <v>0</v>
      </c>
      <c r="Q47" s="37">
        <v>1000000</v>
      </c>
      <c r="R47" s="37">
        <v>10308516</v>
      </c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</row>
    <row r="48" spans="1:35" ht="15.75" customHeight="1" x14ac:dyDescent="0.15">
      <c r="A48" s="44" t="s">
        <v>6</v>
      </c>
      <c r="B48" s="36">
        <v>0.76</v>
      </c>
      <c r="C48" s="49">
        <v>15860974</v>
      </c>
      <c r="D48" s="37">
        <v>12114319</v>
      </c>
      <c r="E48" s="38">
        <v>1.62</v>
      </c>
      <c r="F48" s="37">
        <v>7463675</v>
      </c>
      <c r="G48" s="37">
        <v>8483595</v>
      </c>
      <c r="H48" s="38">
        <v>1.1399999999999999</v>
      </c>
      <c r="I48" s="70" t="s">
        <v>1</v>
      </c>
      <c r="J48" s="40"/>
      <c r="K48" s="37">
        <v>202061</v>
      </c>
      <c r="L48" s="37">
        <v>18604647</v>
      </c>
      <c r="M48" s="41">
        <v>6623612</v>
      </c>
      <c r="N48" s="41">
        <v>0</v>
      </c>
      <c r="O48" s="41">
        <v>6623612</v>
      </c>
      <c r="P48" s="42">
        <v>0</v>
      </c>
      <c r="Q48" s="37">
        <v>1006388</v>
      </c>
      <c r="R48" s="37">
        <v>13519487</v>
      </c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</row>
    <row r="49" spans="1:35" ht="15.75" customHeight="1" x14ac:dyDescent="0.15">
      <c r="A49" s="35" t="s">
        <v>14</v>
      </c>
      <c r="B49" s="36">
        <v>0.6</v>
      </c>
      <c r="C49" s="37">
        <v>40800785</v>
      </c>
      <c r="D49" s="37">
        <v>24476871</v>
      </c>
      <c r="E49" s="38">
        <v>1.28</v>
      </c>
      <c r="F49" s="37">
        <v>19187003</v>
      </c>
      <c r="G49" s="37">
        <v>21257468</v>
      </c>
      <c r="H49" s="38">
        <v>1.1100000000000001</v>
      </c>
      <c r="I49" s="70" t="s">
        <v>1</v>
      </c>
      <c r="J49" s="40"/>
      <c r="K49" s="37">
        <v>419907</v>
      </c>
      <c r="L49" s="37">
        <v>43376393</v>
      </c>
      <c r="M49" s="41">
        <v>11677441</v>
      </c>
      <c r="N49" s="41">
        <v>0</v>
      </c>
      <c r="O49" s="41">
        <v>11677441</v>
      </c>
      <c r="P49" s="42">
        <v>0</v>
      </c>
      <c r="Q49" s="37">
        <v>1817084</v>
      </c>
      <c r="R49" s="37">
        <v>23867762</v>
      </c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15">
      <c r="A50" s="35" t="s">
        <v>23</v>
      </c>
      <c r="B50" s="36">
        <v>0.45</v>
      </c>
      <c r="C50" s="37">
        <v>12512099</v>
      </c>
      <c r="D50" s="37">
        <v>5656329</v>
      </c>
      <c r="E50" s="38">
        <v>0.98</v>
      </c>
      <c r="F50" s="37">
        <v>5773423</v>
      </c>
      <c r="G50" s="37">
        <v>5763113</v>
      </c>
      <c r="H50" s="38">
        <v>0.99</v>
      </c>
      <c r="I50" s="70" t="s">
        <v>1</v>
      </c>
      <c r="J50" s="40"/>
      <c r="K50" s="37">
        <v>28439</v>
      </c>
      <c r="L50" s="37">
        <v>9861015</v>
      </c>
      <c r="M50" s="41">
        <v>3000000</v>
      </c>
      <c r="N50" s="41">
        <v>0</v>
      </c>
      <c r="O50" s="41">
        <v>3000000</v>
      </c>
      <c r="P50" s="42">
        <v>0</v>
      </c>
      <c r="Q50" s="37">
        <v>1000000</v>
      </c>
      <c r="R50" s="37">
        <v>7000000</v>
      </c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15">
      <c r="A51" s="44" t="s">
        <v>15</v>
      </c>
      <c r="B51" s="45">
        <v>0.88</v>
      </c>
      <c r="C51" s="46">
        <v>21907178</v>
      </c>
      <c r="D51" s="46">
        <v>19334168</v>
      </c>
      <c r="E51" s="38">
        <v>1.88</v>
      </c>
      <c r="F51" s="46">
        <v>10305783</v>
      </c>
      <c r="G51" s="46">
        <v>7918749</v>
      </c>
      <c r="H51" s="38">
        <v>0.77</v>
      </c>
      <c r="I51" s="70" t="s">
        <v>1</v>
      </c>
      <c r="J51" s="40"/>
      <c r="K51" s="46">
        <v>0</v>
      </c>
      <c r="L51" s="46">
        <v>1311039</v>
      </c>
      <c r="M51" s="41">
        <v>600000</v>
      </c>
      <c r="N51" s="41">
        <v>505902</v>
      </c>
      <c r="O51" s="41">
        <v>94098</v>
      </c>
      <c r="P51" s="42">
        <v>0.84319999999999995</v>
      </c>
      <c r="Q51" s="46">
        <v>200000</v>
      </c>
      <c r="R51" s="46">
        <v>800000</v>
      </c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1:35" ht="13" x14ac:dyDescent="0.15">
      <c r="A52" s="35" t="s">
        <v>33</v>
      </c>
      <c r="B52" s="36">
        <v>0.56000000000000005</v>
      </c>
      <c r="C52" s="37">
        <v>6133535</v>
      </c>
      <c r="D52" s="37">
        <v>3451219</v>
      </c>
      <c r="E52" s="38">
        <v>1.1499999999999999</v>
      </c>
      <c r="F52" s="37">
        <v>3000000</v>
      </c>
      <c r="G52" s="46">
        <v>2315202</v>
      </c>
      <c r="H52" s="38">
        <v>0.77</v>
      </c>
      <c r="I52" s="70" t="s">
        <v>1</v>
      </c>
      <c r="J52" s="40"/>
      <c r="K52" s="37">
        <v>567934</v>
      </c>
      <c r="L52" s="37">
        <v>73555796</v>
      </c>
      <c r="M52" s="41">
        <v>13721112</v>
      </c>
      <c r="N52" s="41">
        <v>7012100</v>
      </c>
      <c r="O52" s="41">
        <v>6709012</v>
      </c>
      <c r="P52" s="42">
        <v>0.51100000000000001</v>
      </c>
      <c r="Q52" s="37">
        <v>2003193</v>
      </c>
      <c r="R52" s="37">
        <v>27910326</v>
      </c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</row>
    <row r="53" spans="1:35" ht="13" x14ac:dyDescent="0.15">
      <c r="A53" s="35" t="s">
        <v>18</v>
      </c>
      <c r="B53" s="36">
        <v>0.64</v>
      </c>
      <c r="C53" s="37">
        <v>6854176</v>
      </c>
      <c r="D53" s="37">
        <v>4370405</v>
      </c>
      <c r="E53" s="38">
        <v>1.35</v>
      </c>
      <c r="F53" s="37">
        <v>3229896</v>
      </c>
      <c r="G53" s="37">
        <v>2388077</v>
      </c>
      <c r="H53" s="38">
        <v>0.74</v>
      </c>
      <c r="I53" s="70" t="s">
        <v>1</v>
      </c>
      <c r="J53" s="40"/>
      <c r="K53" s="37">
        <v>467834</v>
      </c>
      <c r="L53" s="37">
        <v>19525949</v>
      </c>
      <c r="M53" s="41">
        <v>5840818</v>
      </c>
      <c r="N53" s="41">
        <v>0</v>
      </c>
      <c r="O53" s="41">
        <v>5840818</v>
      </c>
      <c r="P53" s="42">
        <v>0</v>
      </c>
      <c r="Q53" s="37">
        <v>1000000</v>
      </c>
      <c r="R53" s="37">
        <v>12036835</v>
      </c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</row>
    <row r="54" spans="1:35" ht="13" x14ac:dyDescent="0.15">
      <c r="A54" s="35" t="s">
        <v>0</v>
      </c>
      <c r="B54" s="36">
        <v>0.63</v>
      </c>
      <c r="C54" s="37">
        <v>13088416</v>
      </c>
      <c r="D54" s="37">
        <v>8236448</v>
      </c>
      <c r="E54" s="38">
        <v>1.34</v>
      </c>
      <c r="F54" s="37">
        <v>6160393</v>
      </c>
      <c r="G54" s="46">
        <v>3353653</v>
      </c>
      <c r="H54" s="38">
        <v>0.54</v>
      </c>
      <c r="I54" s="70" t="s">
        <v>1</v>
      </c>
      <c r="J54" s="40"/>
      <c r="K54" s="37">
        <v>410601</v>
      </c>
      <c r="L54" s="37">
        <v>21658343</v>
      </c>
      <c r="M54" s="41">
        <v>6029047</v>
      </c>
      <c r="N54" s="41">
        <v>0</v>
      </c>
      <c r="O54" s="41">
        <v>6029047</v>
      </c>
      <c r="P54" s="42">
        <v>0</v>
      </c>
      <c r="Q54" s="37">
        <v>1000000</v>
      </c>
      <c r="R54" s="37">
        <v>12392028</v>
      </c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</row>
    <row r="55" spans="1:35" ht="13" x14ac:dyDescent="0.15">
      <c r="A55" s="44" t="s">
        <v>21</v>
      </c>
      <c r="B55" s="45">
        <v>0.42</v>
      </c>
      <c r="C55" s="46">
        <v>9786087</v>
      </c>
      <c r="D55" s="46">
        <v>4086959</v>
      </c>
      <c r="E55" s="38">
        <v>0.89</v>
      </c>
      <c r="F55" s="46">
        <v>4608084</v>
      </c>
      <c r="G55" s="46">
        <v>2062124</v>
      </c>
      <c r="H55" s="38">
        <v>0.45</v>
      </c>
      <c r="I55" s="70" t="s">
        <v>1</v>
      </c>
      <c r="J55" s="40"/>
      <c r="K55" s="46">
        <v>504760</v>
      </c>
      <c r="L55" s="46">
        <v>89371278</v>
      </c>
      <c r="M55" s="41">
        <v>15175567</v>
      </c>
      <c r="N55" s="41">
        <v>7560859</v>
      </c>
      <c r="O55" s="41">
        <v>7614708</v>
      </c>
      <c r="P55" s="42">
        <v>0.49819999999999998</v>
      </c>
      <c r="Q55" s="46">
        <v>2205840</v>
      </c>
      <c r="R55" s="46">
        <v>30857563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1:35" ht="13" x14ac:dyDescent="0.15">
      <c r="A56" s="44" t="s">
        <v>34</v>
      </c>
      <c r="B56" s="45">
        <v>0.32</v>
      </c>
      <c r="C56" s="46">
        <v>7422268</v>
      </c>
      <c r="D56" s="46">
        <v>2387924</v>
      </c>
      <c r="E56" s="38">
        <v>0.68</v>
      </c>
      <c r="F56" s="46">
        <v>3496936</v>
      </c>
      <c r="G56" s="46">
        <v>1534553</v>
      </c>
      <c r="H56" s="38">
        <v>0.44</v>
      </c>
      <c r="I56" s="70" t="s">
        <v>1</v>
      </c>
      <c r="J56" s="40"/>
      <c r="K56" s="46">
        <v>0</v>
      </c>
      <c r="L56" s="46">
        <v>13254481</v>
      </c>
      <c r="M56" s="41">
        <v>4141884</v>
      </c>
      <c r="N56" s="41">
        <v>0</v>
      </c>
      <c r="O56" s="41">
        <v>4141884</v>
      </c>
      <c r="P56" s="42">
        <v>0</v>
      </c>
      <c r="Q56" s="46">
        <v>556850</v>
      </c>
      <c r="R56" s="46">
        <v>8375696</v>
      </c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1:35" ht="13" x14ac:dyDescent="0.15">
      <c r="A57" s="35" t="s">
        <v>32</v>
      </c>
      <c r="B57" s="36">
        <v>0.26</v>
      </c>
      <c r="C57" s="37">
        <v>15365191</v>
      </c>
      <c r="D57" s="37">
        <v>3961391</v>
      </c>
      <c r="E57" s="38">
        <v>0.55000000000000004</v>
      </c>
      <c r="F57" s="37">
        <v>7230625</v>
      </c>
      <c r="G57" s="37">
        <v>2549269</v>
      </c>
      <c r="H57" s="38">
        <v>0.35</v>
      </c>
      <c r="I57" s="70" t="s">
        <v>1</v>
      </c>
      <c r="J57" s="40"/>
      <c r="K57" s="37">
        <v>87166</v>
      </c>
      <c r="L57" s="37">
        <v>15110375</v>
      </c>
      <c r="M57" s="41">
        <v>3216180</v>
      </c>
      <c r="N57" s="41">
        <v>0</v>
      </c>
      <c r="O57" s="41">
        <v>3216180</v>
      </c>
      <c r="P57" s="42">
        <v>0</v>
      </c>
      <c r="Q57" s="37">
        <v>1000000</v>
      </c>
      <c r="R57" s="37">
        <v>7216180</v>
      </c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</row>
    <row r="58" spans="1:35" ht="13" x14ac:dyDescent="0.15">
      <c r="A58" s="35" t="s">
        <v>22</v>
      </c>
      <c r="B58" s="36">
        <v>0.4</v>
      </c>
      <c r="C58" s="37">
        <v>9308516</v>
      </c>
      <c r="D58" s="37">
        <v>3679044</v>
      </c>
      <c r="E58" s="38">
        <v>0.84</v>
      </c>
      <c r="F58" s="37">
        <v>4383595</v>
      </c>
      <c r="G58" s="37">
        <v>19200</v>
      </c>
      <c r="H58" s="42">
        <v>4.0000000000000001E-3</v>
      </c>
      <c r="I58" s="70" t="s">
        <v>1</v>
      </c>
      <c r="J58" s="40"/>
      <c r="K58" s="37">
        <v>412885</v>
      </c>
      <c r="L58" s="37">
        <v>30309748</v>
      </c>
      <c r="M58" s="41">
        <v>6793191</v>
      </c>
      <c r="N58" s="41">
        <v>1423243</v>
      </c>
      <c r="O58" s="41">
        <v>5369948</v>
      </c>
      <c r="P58" s="42">
        <v>0.20949999999999999</v>
      </c>
      <c r="Q58" s="37">
        <v>1084886</v>
      </c>
      <c r="R58" s="37">
        <v>13918871</v>
      </c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</row>
    <row r="59" spans="1:35" ht="13" x14ac:dyDescent="0.15">
      <c r="A59" s="35" t="s">
        <v>24</v>
      </c>
      <c r="B59" s="36">
        <v>0</v>
      </c>
      <c r="C59" s="37">
        <v>12513099</v>
      </c>
      <c r="D59" s="37">
        <v>0</v>
      </c>
      <c r="E59" s="38">
        <v>0</v>
      </c>
      <c r="F59" s="37">
        <v>5889487</v>
      </c>
      <c r="G59" s="46">
        <v>0</v>
      </c>
      <c r="H59" s="38">
        <v>0</v>
      </c>
      <c r="I59" s="70" t="s">
        <v>1</v>
      </c>
      <c r="J59" s="40"/>
      <c r="K59" s="37">
        <v>186123</v>
      </c>
      <c r="L59" s="37">
        <v>15085632</v>
      </c>
      <c r="M59" s="41">
        <v>3000000</v>
      </c>
      <c r="N59" s="41">
        <v>0</v>
      </c>
      <c r="O59" s="41">
        <v>3000000</v>
      </c>
      <c r="P59" s="42">
        <v>0</v>
      </c>
      <c r="Q59" s="37">
        <v>1000000</v>
      </c>
      <c r="R59" s="37">
        <v>7000000</v>
      </c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</row>
    <row r="60" spans="1:35" ht="13" x14ac:dyDescent="0.15">
      <c r="A60" s="44" t="s">
        <v>41</v>
      </c>
      <c r="B60" s="36">
        <v>0.14000000000000001</v>
      </c>
      <c r="C60" s="37">
        <v>6000000</v>
      </c>
      <c r="D60" s="37">
        <v>832576</v>
      </c>
      <c r="E60" s="38">
        <v>0.28000000000000003</v>
      </c>
      <c r="F60" s="37">
        <v>3000000</v>
      </c>
      <c r="G60" s="46">
        <v>0</v>
      </c>
      <c r="H60" s="38">
        <v>0</v>
      </c>
      <c r="I60" s="70" t="s">
        <v>1</v>
      </c>
      <c r="J60" s="40"/>
      <c r="K60" s="37">
        <v>299351</v>
      </c>
      <c r="L60" s="37">
        <v>33548273</v>
      </c>
      <c r="M60" s="41">
        <v>8512000</v>
      </c>
      <c r="N60" s="41">
        <v>0</v>
      </c>
      <c r="O60" s="41">
        <v>8512000</v>
      </c>
      <c r="P60" s="42">
        <v>0</v>
      </c>
      <c r="Q60" s="37">
        <v>1327148</v>
      </c>
      <c r="R60" s="37">
        <v>17404566</v>
      </c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</row>
    <row r="61" spans="1:35" ht="13" x14ac:dyDescent="0.15">
      <c r="A61" s="35" t="s">
        <v>43</v>
      </c>
      <c r="B61" s="36">
        <v>0.74</v>
      </c>
      <c r="C61" s="37">
        <v>25907133</v>
      </c>
      <c r="D61" s="37">
        <v>19198121</v>
      </c>
      <c r="E61" s="38">
        <v>1.58</v>
      </c>
      <c r="F61" s="37">
        <v>12186021</v>
      </c>
      <c r="G61" s="37">
        <v>15696584</v>
      </c>
      <c r="H61" s="38">
        <v>1.29</v>
      </c>
      <c r="I61" s="70" t="s">
        <v>1</v>
      </c>
      <c r="J61" s="40"/>
      <c r="K61" s="37">
        <v>1208118</v>
      </c>
      <c r="L61" s="37">
        <v>129607248</v>
      </c>
      <c r="M61" s="41">
        <v>26197203</v>
      </c>
      <c r="N61" s="41">
        <v>11698406</v>
      </c>
      <c r="O61" s="41">
        <v>14498797</v>
      </c>
      <c r="P61" s="42">
        <v>0.4466</v>
      </c>
      <c r="Q61" s="37">
        <v>4241736</v>
      </c>
      <c r="R61" s="37">
        <v>53691543</v>
      </c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</row>
    <row r="62" spans="1:35" ht="13" x14ac:dyDescent="0.15">
      <c r="A62" s="44" t="s">
        <v>44</v>
      </c>
      <c r="B62" s="45">
        <v>0.17</v>
      </c>
      <c r="C62" s="46">
        <v>11036835</v>
      </c>
      <c r="D62" s="46">
        <v>1823589</v>
      </c>
      <c r="E62" s="38">
        <v>0.35</v>
      </c>
      <c r="F62" s="46">
        <v>5196017</v>
      </c>
      <c r="G62" s="46">
        <v>1001673</v>
      </c>
      <c r="H62" s="38">
        <v>0.19</v>
      </c>
      <c r="I62" s="70" t="s">
        <v>1</v>
      </c>
      <c r="J62" s="40"/>
      <c r="K62" s="46">
        <v>7707</v>
      </c>
      <c r="L62" s="46">
        <v>3557234</v>
      </c>
      <c r="M62" s="41">
        <v>600000</v>
      </c>
      <c r="N62" s="41">
        <v>427815</v>
      </c>
      <c r="O62" s="41">
        <v>172185</v>
      </c>
      <c r="P62" s="42">
        <v>0.71299999999999997</v>
      </c>
      <c r="Q62" s="46">
        <v>200000</v>
      </c>
      <c r="R62" s="46">
        <v>1400000</v>
      </c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1:35" ht="13" x14ac:dyDescent="0.15">
      <c r="A63" s="35" t="s">
        <v>49</v>
      </c>
      <c r="B63" s="36">
        <v>0.57999999999999996</v>
      </c>
      <c r="C63" s="37">
        <v>12833985</v>
      </c>
      <c r="D63" s="37">
        <v>7464037</v>
      </c>
      <c r="E63" s="38">
        <v>1.24</v>
      </c>
      <c r="F63" s="37">
        <v>6040794</v>
      </c>
      <c r="G63" s="37">
        <v>3558045</v>
      </c>
      <c r="H63" s="38">
        <v>0.59</v>
      </c>
      <c r="I63" s="70" t="s">
        <v>1</v>
      </c>
      <c r="J63" s="40"/>
      <c r="K63" s="37">
        <v>195947</v>
      </c>
      <c r="L63" s="37">
        <v>16819444</v>
      </c>
      <c r="M63" s="41">
        <v>4617665</v>
      </c>
      <c r="N63" s="41">
        <v>0</v>
      </c>
      <c r="O63" s="41">
        <v>4617665</v>
      </c>
      <c r="P63" s="42">
        <v>0</v>
      </c>
      <c r="Q63" s="37">
        <v>1000000</v>
      </c>
      <c r="R63" s="37">
        <v>9728717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</row>
    <row r="64" spans="1:35" ht="13" x14ac:dyDescent="0.15">
      <c r="A64" s="35" t="s">
        <v>50</v>
      </c>
      <c r="B64" s="36">
        <v>0.49</v>
      </c>
      <c r="C64" s="37">
        <v>6000000</v>
      </c>
      <c r="D64" s="37">
        <v>2950062</v>
      </c>
      <c r="E64" s="38">
        <v>0.98</v>
      </c>
      <c r="F64" s="37">
        <v>3000000</v>
      </c>
      <c r="G64" s="37">
        <v>2949445</v>
      </c>
      <c r="H64" s="38">
        <v>0.97</v>
      </c>
      <c r="I64" s="70" t="s">
        <v>1</v>
      </c>
      <c r="J64" s="40"/>
      <c r="K64" s="37">
        <v>100314</v>
      </c>
      <c r="L64" s="37">
        <v>12241700</v>
      </c>
      <c r="M64" s="41">
        <v>3000000</v>
      </c>
      <c r="N64" s="41">
        <v>0</v>
      </c>
      <c r="O64" s="41">
        <v>3000000</v>
      </c>
      <c r="P64" s="42">
        <v>0</v>
      </c>
      <c r="Q64" s="37">
        <v>1000000</v>
      </c>
      <c r="R64" s="37">
        <v>7000000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</row>
    <row r="65" spans="1:35" ht="13" x14ac:dyDescent="0.15">
      <c r="A65" s="35" t="s">
        <v>51</v>
      </c>
      <c r="B65" s="36">
        <v>0.33</v>
      </c>
      <c r="C65" s="37">
        <v>16077418</v>
      </c>
      <c r="D65" s="37">
        <v>5384458</v>
      </c>
      <c r="E65" s="38">
        <v>0.71</v>
      </c>
      <c r="F65" s="37">
        <v>7565418</v>
      </c>
      <c r="G65" s="46">
        <v>4221627</v>
      </c>
      <c r="H65" s="38">
        <v>0.55000000000000004</v>
      </c>
      <c r="I65" s="70" t="s">
        <v>1</v>
      </c>
      <c r="J65" s="40"/>
      <c r="K65" s="37">
        <v>704554</v>
      </c>
      <c r="L65" s="37">
        <v>42449694</v>
      </c>
      <c r="M65" s="41">
        <v>10220313</v>
      </c>
      <c r="N65" s="41">
        <v>0</v>
      </c>
      <c r="O65" s="41">
        <v>10220313</v>
      </c>
      <c r="P65" s="42">
        <v>0</v>
      </c>
      <c r="Q65" s="37">
        <v>1567743</v>
      </c>
      <c r="R65" s="37">
        <v>20868787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</row>
    <row r="66" spans="1:35" ht="13" x14ac:dyDescent="0.15">
      <c r="A66" s="35" t="s">
        <v>52</v>
      </c>
      <c r="B66" s="36">
        <v>0.71</v>
      </c>
      <c r="C66" s="37">
        <v>49449807</v>
      </c>
      <c r="D66" s="37">
        <v>34951010</v>
      </c>
      <c r="E66" s="38">
        <v>1.5</v>
      </c>
      <c r="F66" s="37">
        <v>23252604</v>
      </c>
      <c r="G66" s="37">
        <v>20745707</v>
      </c>
      <c r="H66" s="38">
        <v>0.89</v>
      </c>
      <c r="I66" s="70" t="s">
        <v>1</v>
      </c>
      <c r="J66" s="40"/>
      <c r="K66" s="37">
        <v>457434</v>
      </c>
      <c r="L66" s="37">
        <v>44818920</v>
      </c>
      <c r="M66" s="41">
        <v>8897955</v>
      </c>
      <c r="N66" s="41">
        <v>5921590</v>
      </c>
      <c r="O66" s="41">
        <v>2976365</v>
      </c>
      <c r="P66" s="42">
        <v>0.66549999999999998</v>
      </c>
      <c r="Q66" s="37">
        <v>1440359</v>
      </c>
      <c r="R66" s="37">
        <v>18246082</v>
      </c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</row>
    <row r="67" spans="1:35" ht="13" x14ac:dyDescent="0.15">
      <c r="A67" s="44" t="s">
        <v>54</v>
      </c>
      <c r="B67" s="36">
        <v>0.28000000000000003</v>
      </c>
      <c r="C67" s="37">
        <v>8728717</v>
      </c>
      <c r="D67" s="37">
        <v>2478566</v>
      </c>
      <c r="E67" s="38">
        <v>0.6</v>
      </c>
      <c r="F67" s="37">
        <v>4111052</v>
      </c>
      <c r="G67" s="37">
        <v>1305161</v>
      </c>
      <c r="H67" s="38">
        <v>0.32</v>
      </c>
      <c r="I67" s="70" t="s">
        <v>1</v>
      </c>
      <c r="J67" s="40"/>
      <c r="K67" s="37">
        <v>50678</v>
      </c>
      <c r="L67" s="37">
        <v>22258269</v>
      </c>
      <c r="M67" s="41">
        <v>4054987</v>
      </c>
      <c r="N67" s="41">
        <v>3593314</v>
      </c>
      <c r="O67" s="41">
        <v>461673</v>
      </c>
      <c r="P67" s="42">
        <v>0.8861</v>
      </c>
      <c r="Q67" s="37">
        <v>1000000</v>
      </c>
      <c r="R67" s="37">
        <v>8666930</v>
      </c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</row>
    <row r="68" spans="1:35" ht="13" x14ac:dyDescent="0.15">
      <c r="A68" s="35" t="s">
        <v>58</v>
      </c>
      <c r="B68" s="36">
        <v>0.94</v>
      </c>
      <c r="C68" s="37">
        <v>7666930</v>
      </c>
      <c r="D68" s="37">
        <v>7205257</v>
      </c>
      <c r="E68" s="38">
        <v>2</v>
      </c>
      <c r="F68" s="37">
        <v>3611943</v>
      </c>
      <c r="G68" s="37">
        <v>3723458</v>
      </c>
      <c r="H68" s="38">
        <v>1.03</v>
      </c>
      <c r="I68" s="70" t="s">
        <v>1</v>
      </c>
      <c r="J68" s="40"/>
      <c r="K68" s="37">
        <v>284742</v>
      </c>
      <c r="L68" s="37">
        <v>37955031</v>
      </c>
      <c r="M68" s="41">
        <v>7850124</v>
      </c>
      <c r="N68" s="41">
        <v>1783908</v>
      </c>
      <c r="O68" s="41">
        <v>6066216</v>
      </c>
      <c r="P68" s="42">
        <v>0.22720000000000001</v>
      </c>
      <c r="Q68" s="37">
        <v>1190603</v>
      </c>
      <c r="R68" s="37">
        <v>16019045</v>
      </c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</row>
    <row r="69" spans="1:35" ht="13" x14ac:dyDescent="0.15">
      <c r="A69" s="35" t="s">
        <v>60</v>
      </c>
      <c r="B69" s="36">
        <v>0.6</v>
      </c>
      <c r="C69" s="37">
        <v>6000000</v>
      </c>
      <c r="D69" s="37">
        <v>3581099</v>
      </c>
      <c r="E69" s="38">
        <v>1.19</v>
      </c>
      <c r="F69" s="37">
        <v>3000000</v>
      </c>
      <c r="G69" s="37">
        <v>2721962</v>
      </c>
      <c r="H69" s="38">
        <v>0.91</v>
      </c>
      <c r="I69" s="70" t="s">
        <v>1</v>
      </c>
      <c r="J69" s="40"/>
      <c r="K69" s="37">
        <v>275812</v>
      </c>
      <c r="L69" s="37">
        <v>15578875</v>
      </c>
      <c r="M69" s="41">
        <v>3000000</v>
      </c>
      <c r="N69" s="41">
        <v>581099</v>
      </c>
      <c r="O69" s="41">
        <v>2418901</v>
      </c>
      <c r="P69" s="42">
        <v>0.19370000000000001</v>
      </c>
      <c r="Q69" s="37">
        <v>1000000</v>
      </c>
      <c r="R69" s="37">
        <v>7000000</v>
      </c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</row>
    <row r="70" spans="1:35" ht="13" x14ac:dyDescent="0.15">
      <c r="A70" s="71" t="s">
        <v>98</v>
      </c>
      <c r="B70" s="72">
        <v>0.58509999999999995</v>
      </c>
      <c r="C70" s="73">
        <v>362417823</v>
      </c>
      <c r="D70" s="73">
        <v>212043236</v>
      </c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</row>
    <row r="71" spans="1:35" ht="13" x14ac:dyDescent="0.15">
      <c r="A71" s="71" t="s">
        <v>92</v>
      </c>
      <c r="B71" s="72"/>
      <c r="C71" s="74">
        <f t="shared" ref="C71:D71" si="5">C70/C43</f>
        <v>0.45021276202560018</v>
      </c>
      <c r="D71" s="74">
        <f t="shared" si="5"/>
        <v>0.5037262440066661</v>
      </c>
      <c r="E71" s="72"/>
      <c r="F71" s="75"/>
      <c r="G71" s="75"/>
      <c r="H71" s="72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</row>
    <row r="72" spans="1:35" ht="13" x14ac:dyDescent="0.15">
      <c r="A72" s="71" t="s">
        <v>99</v>
      </c>
      <c r="B72" s="72">
        <v>0.59</v>
      </c>
      <c r="C72" s="75">
        <v>10411461</v>
      </c>
      <c r="D72" s="75">
        <v>4930038</v>
      </c>
      <c r="E72" s="72">
        <v>1.2150000000000001</v>
      </c>
      <c r="F72" s="75">
        <v>4902050.5</v>
      </c>
      <c r="G72" s="75">
        <v>3455849</v>
      </c>
      <c r="H72" s="72">
        <v>0.77</v>
      </c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</row>
    <row r="73" spans="1:35" ht="13" x14ac:dyDescent="0.15">
      <c r="A73" s="71" t="s">
        <v>100</v>
      </c>
      <c r="B73" s="72">
        <v>0.54190000000000005</v>
      </c>
      <c r="C73" s="75">
        <v>13939147.039999999</v>
      </c>
      <c r="D73" s="75">
        <v>8155509.0800000001</v>
      </c>
      <c r="E73" s="72">
        <v>1.1408</v>
      </c>
      <c r="F73" s="75">
        <v>6586399.7300000004</v>
      </c>
      <c r="G73" s="75">
        <v>5412364.6500000004</v>
      </c>
      <c r="H73" s="72">
        <v>0.76049999999999995</v>
      </c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</row>
    <row r="74" spans="1:35" ht="15" x14ac:dyDescent="0.2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</row>
    <row r="75" spans="1:35" ht="15" x14ac:dyDescent="0.2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</row>
    <row r="76" spans="1:35" ht="84" x14ac:dyDescent="0.15">
      <c r="A76" s="67" t="s">
        <v>62</v>
      </c>
      <c r="B76" s="67" t="s">
        <v>80</v>
      </c>
      <c r="C76" s="67" t="s">
        <v>81</v>
      </c>
      <c r="D76" s="67" t="s">
        <v>82</v>
      </c>
      <c r="E76" s="67" t="s">
        <v>83</v>
      </c>
      <c r="F76" s="67" t="s">
        <v>84</v>
      </c>
      <c r="G76" s="67" t="s">
        <v>85</v>
      </c>
      <c r="H76" s="67" t="s">
        <v>86</v>
      </c>
      <c r="I76" s="67" t="s">
        <v>87</v>
      </c>
      <c r="J76" s="68"/>
      <c r="K76" s="67" t="s">
        <v>66</v>
      </c>
      <c r="L76" s="67" t="s">
        <v>88</v>
      </c>
      <c r="M76" s="67" t="s">
        <v>68</v>
      </c>
      <c r="N76" s="67" t="s">
        <v>69</v>
      </c>
      <c r="O76" s="69" t="s">
        <v>89</v>
      </c>
      <c r="P76" s="67" t="s">
        <v>71</v>
      </c>
      <c r="Q76" s="67" t="s">
        <v>90</v>
      </c>
      <c r="R76" s="67" t="s">
        <v>73</v>
      </c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ht="13" x14ac:dyDescent="0.15">
      <c r="A77" s="30" t="s">
        <v>63</v>
      </c>
      <c r="B77" s="31">
        <v>0.52</v>
      </c>
      <c r="C77" s="32">
        <v>804992336</v>
      </c>
      <c r="D77" s="32">
        <v>420949352</v>
      </c>
      <c r="E77" s="31">
        <v>1.1200000000000001</v>
      </c>
      <c r="F77" s="32">
        <v>380000000</v>
      </c>
      <c r="G77" s="32">
        <v>255252660</v>
      </c>
      <c r="H77" s="30"/>
      <c r="I77" s="30"/>
      <c r="J77" s="33"/>
      <c r="K77" s="32">
        <v>16164696</v>
      </c>
      <c r="L77" s="32">
        <v>1877607047</v>
      </c>
      <c r="M77" s="34">
        <v>425240245</v>
      </c>
      <c r="N77" s="34">
        <v>100928807</v>
      </c>
      <c r="O77" s="34">
        <v>324311438</v>
      </c>
      <c r="P77" s="31">
        <v>0.24</v>
      </c>
      <c r="Q77" s="32">
        <v>75000000</v>
      </c>
      <c r="R77" s="32">
        <v>879992336</v>
      </c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</row>
    <row r="78" spans="1:35" ht="13" x14ac:dyDescent="0.15">
      <c r="A78" s="76" t="s">
        <v>16</v>
      </c>
      <c r="B78" s="77">
        <v>0.5</v>
      </c>
      <c r="C78" s="78">
        <v>1200000</v>
      </c>
      <c r="D78" s="78">
        <v>601715</v>
      </c>
      <c r="E78" s="79">
        <v>1</v>
      </c>
      <c r="F78" s="78">
        <v>600000</v>
      </c>
      <c r="G78" s="37">
        <v>474223</v>
      </c>
      <c r="H78" s="38">
        <v>0.79</v>
      </c>
      <c r="I78" s="80" t="s">
        <v>61</v>
      </c>
      <c r="J78" s="40"/>
      <c r="K78" s="37">
        <v>128623</v>
      </c>
      <c r="L78" s="37">
        <v>13921248</v>
      </c>
      <c r="M78" s="41">
        <v>3480380</v>
      </c>
      <c r="N78" s="41">
        <v>0</v>
      </c>
      <c r="O78" s="41">
        <v>3480380</v>
      </c>
      <c r="P78" s="42">
        <v>0</v>
      </c>
      <c r="Q78" s="37">
        <v>1000000</v>
      </c>
      <c r="R78" s="37">
        <v>7582633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</row>
    <row r="79" spans="1:35" ht="13" x14ac:dyDescent="0.15">
      <c r="A79" s="76" t="s">
        <v>4</v>
      </c>
      <c r="B79" s="77">
        <v>0.71</v>
      </c>
      <c r="C79" s="78">
        <v>1200000</v>
      </c>
      <c r="D79" s="78">
        <v>848458</v>
      </c>
      <c r="E79" s="79">
        <v>1.41</v>
      </c>
      <c r="F79" s="78">
        <v>600000</v>
      </c>
      <c r="G79" s="46">
        <v>451170</v>
      </c>
      <c r="H79" s="38">
        <v>0.75</v>
      </c>
      <c r="I79" s="80" t="s">
        <v>61</v>
      </c>
      <c r="J79" s="40"/>
      <c r="K79" s="37">
        <v>58196</v>
      </c>
      <c r="L79" s="37">
        <v>30956203</v>
      </c>
      <c r="M79" s="41">
        <v>7946380</v>
      </c>
      <c r="N79" s="41">
        <v>0</v>
      </c>
      <c r="O79" s="41">
        <v>7946380</v>
      </c>
      <c r="P79" s="42">
        <v>0</v>
      </c>
      <c r="Q79" s="37">
        <v>1226483</v>
      </c>
      <c r="R79" s="37">
        <v>16236562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</row>
    <row r="80" spans="1:35" ht="13" x14ac:dyDescent="0.15">
      <c r="A80" s="76" t="s">
        <v>42</v>
      </c>
      <c r="B80" s="77">
        <v>0.84</v>
      </c>
      <c r="C80" s="78">
        <v>600000</v>
      </c>
      <c r="D80" s="78">
        <v>505902</v>
      </c>
      <c r="E80" s="81" t="s">
        <v>5</v>
      </c>
      <c r="F80" s="78">
        <v>0</v>
      </c>
      <c r="G80" s="37">
        <v>205137</v>
      </c>
      <c r="H80" s="40" t="s">
        <v>5</v>
      </c>
      <c r="I80" s="80" t="s">
        <v>61</v>
      </c>
      <c r="J80" s="40"/>
      <c r="K80" s="37">
        <v>274362</v>
      </c>
      <c r="L80" s="37">
        <v>31113274</v>
      </c>
      <c r="M80" s="41">
        <v>6928023</v>
      </c>
      <c r="N80" s="41">
        <v>2076055</v>
      </c>
      <c r="O80" s="41">
        <v>4851968</v>
      </c>
      <c r="P80" s="42">
        <v>0.29970000000000002</v>
      </c>
      <c r="Q80" s="37">
        <v>1067681</v>
      </c>
      <c r="R80" s="37">
        <v>14156097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</row>
    <row r="81" spans="1:35" ht="13" x14ac:dyDescent="0.15">
      <c r="A81" s="76" t="s">
        <v>47</v>
      </c>
      <c r="B81" s="77">
        <v>0.12</v>
      </c>
      <c r="C81" s="78">
        <v>7818846</v>
      </c>
      <c r="D81" s="78">
        <v>943508</v>
      </c>
      <c r="E81" s="79">
        <v>0.26</v>
      </c>
      <c r="F81" s="78">
        <v>3676962</v>
      </c>
      <c r="G81" s="37">
        <v>815165</v>
      </c>
      <c r="H81" s="38">
        <v>0.22</v>
      </c>
      <c r="I81" s="80" t="s">
        <v>61</v>
      </c>
      <c r="J81" s="40"/>
      <c r="K81" s="37">
        <v>337874</v>
      </c>
      <c r="L81" s="37">
        <v>35860980</v>
      </c>
      <c r="M81" s="41">
        <v>8878886</v>
      </c>
      <c r="N81" s="41">
        <v>0</v>
      </c>
      <c r="O81" s="41">
        <v>8878886</v>
      </c>
      <c r="P81" s="42">
        <v>0</v>
      </c>
      <c r="Q81" s="37">
        <v>1376528</v>
      </c>
      <c r="R81" s="37">
        <v>18146268</v>
      </c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</row>
    <row r="82" spans="1:35" ht="13" x14ac:dyDescent="0.15">
      <c r="A82" s="76" t="s">
        <v>53</v>
      </c>
      <c r="B82" s="77">
        <v>0.86</v>
      </c>
      <c r="C82" s="78">
        <v>1200000</v>
      </c>
      <c r="D82" s="78">
        <v>1027815</v>
      </c>
      <c r="E82" s="79">
        <v>1.71</v>
      </c>
      <c r="F82" s="78">
        <v>600000</v>
      </c>
      <c r="G82" s="37">
        <v>721709</v>
      </c>
      <c r="H82" s="38">
        <v>1.2</v>
      </c>
      <c r="I82" s="80" t="s">
        <v>61</v>
      </c>
      <c r="J82" s="40"/>
      <c r="K82" s="37">
        <v>183169</v>
      </c>
      <c r="L82" s="37">
        <v>20726424</v>
      </c>
      <c r="M82" s="41">
        <v>5178003</v>
      </c>
      <c r="N82" s="41">
        <v>0</v>
      </c>
      <c r="O82" s="41">
        <v>5178003</v>
      </c>
      <c r="P82" s="42">
        <v>0</v>
      </c>
      <c r="Q82" s="37">
        <v>1000000</v>
      </c>
      <c r="R82" s="37">
        <v>10786087</v>
      </c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</row>
    <row r="84" spans="1:35" ht="15.75" customHeight="1" x14ac:dyDescent="0.15">
      <c r="A84" s="119" t="s">
        <v>109</v>
      </c>
    </row>
    <row r="86" spans="1:35" ht="15.75" customHeight="1" x14ac:dyDescent="0.15">
      <c r="A86" s="117" t="s">
        <v>108</v>
      </c>
    </row>
  </sheetData>
  <mergeCells count="1">
    <mergeCell ref="E24:F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Spending Statistics</vt:lpstr>
      <vt:lpstr>Spending Breakdown by Partisan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2022-10-24T15:23:20Z</dcterms:created>
  <dcterms:modified xsi:type="dcterms:W3CDTF">2022-10-24T21:30:07Z</dcterms:modified>
</cp:coreProperties>
</file>